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ustomProperty1.bin" ContentType="application/vnd.openxmlformats-officedocument.spreadsheetml.customProperty"/>
  <Override PartName="/xl/drawings/drawing2.xml" ContentType="application/vnd.openxmlformats-officedocument.drawing+xml"/>
  <Override PartName="/xl/ink/ink1.xml" ContentType="application/inkml+xml"/>
  <Override PartName="/xl/customProperty2.bin" ContentType="application/vnd.openxmlformats-officedocument.spreadsheetml.customProperty"/>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ustomProperty3.bin" ContentType="application/vnd.openxmlformats-officedocument.spreadsheetml.customProperty"/>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ustomProperty4.bin" ContentType="application/vnd.openxmlformats-officedocument.spreadsheetml.customProperty"/>
  <Override PartName="/xl/drawings/drawing5.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ustomProperty5.bin" ContentType="application/vnd.openxmlformats-officedocument.spreadsheetml.customProperty"/>
  <Override PartName="/xl/comments2.xml" ContentType="application/vnd.openxmlformats-officedocument.spreadsheetml.comments+xml"/>
  <Override PartName="/xl/threadedComments/threadedComment2.xml" ContentType="application/vnd.ms-excel.threadedcomments+xml"/>
  <Override PartName="/xl/customProperty6.bin" ContentType="application/vnd.openxmlformats-officedocument.spreadsheetml.customProperty"/>
  <Override PartName="/xl/comments3.xml" ContentType="application/vnd.openxmlformats-officedocument.spreadsheetml.comments+xml"/>
  <Override PartName="/xl/threadedComments/threadedComment3.xml" ContentType="application/vnd.ms-excel.threadedcomments+xml"/>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drawings/drawing6.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comments4.xml" ContentType="application/vnd.openxmlformats-officedocument.spreadsheetml.comments+xml"/>
  <Override PartName="/xl/customProperty12.bin" ContentType="application/vnd.openxmlformats-officedocument.spreadsheetml.customProperty"/>
  <Override PartName="/xl/comments5.xml" ContentType="application/vnd.openxmlformats-officedocument.spreadsheetml.comments+xml"/>
  <Override PartName="/xl/customProperty13.bin" ContentType="application/vnd.openxmlformats-officedocument.spreadsheetml.customProperty"/>
  <Override PartName="/xl/customProperty14.bin" ContentType="application/vnd.openxmlformats-officedocument.spreadsheetml.customProperty"/>
  <Override PartName="/xl/comments6.xml" ContentType="application/vnd.openxmlformats-officedocument.spreadsheetml.comments+xml"/>
  <Override PartName="/xl/customProperty15.bin" ContentType="application/vnd.openxmlformats-officedocument.spreadsheetml.customProperty"/>
  <Override PartName="/xl/customProperty16.bin" ContentType="application/vnd.openxmlformats-officedocument.spreadsheetml.customProperty"/>
  <Override PartName="/xl/comments7.xml" ContentType="application/vnd.openxmlformats-officedocument.spreadsheetml.comments+xml"/>
  <Override PartName="/xl/customProperty17.bin" ContentType="application/vnd.openxmlformats-officedocument.spreadsheetml.customProperty"/>
  <Override PartName="/xl/customProperty18.bin" ContentType="application/vnd.openxmlformats-officedocument.spreadsheetml.customProperty"/>
  <Override PartName="/xl/drawings/drawing7.xml" ContentType="application/vnd.openxmlformats-officedocument.drawing+xml"/>
  <Override PartName="/xl/tables/table5.xml" ContentType="application/vnd.openxmlformats-officedocument.spreadsheetml.table+xml"/>
  <Override PartName="/xl/comments8.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codeName="ThisWorkbook"/>
  <mc:AlternateContent xmlns:mc="http://schemas.openxmlformats.org/markup-compatibility/2006">
    <mc:Choice Requires="x15">
      <x15ac:absPath xmlns:x15ac="http://schemas.microsoft.com/office/spreadsheetml/2010/11/ac" url="https://energir-my.sharepoint.com/personal/fanny_eppner_energir_com/Documents/Bureau/"/>
    </mc:Choice>
  </mc:AlternateContent>
  <xr:revisionPtr revIDLastSave="399" documentId="8_{8B05D7E3-03F3-4019-A915-280BC07BEE4D}" xr6:coauthVersionLast="47" xr6:coauthVersionMax="47" xr10:uidLastSave="{2CB938AE-3ED3-44F3-9CE9-8A9966D4386E}"/>
  <workbookProtection workbookAlgorithmName="SHA-512" workbookHashValue="Fk7CPSZaXM5AVg9KAu0ZFGZVDUOff0nY/eCm2zd49khbKBy1tMJgXZPqjmlXwVWToy2JzahaTbBL+XvBtABO3Q==" workbookSaltValue="eAhcPU+9/KCh7Rd3cjgz5g==" workbookSpinCount="100000" lockStructure="1"/>
  <bookViews>
    <workbookView xWindow="-28920" yWindow="-120" windowWidth="29040" windowHeight="15840" tabRatio="810" xr2:uid="{00000000-000D-0000-FFFF-FFFF00000000}"/>
  </bookViews>
  <sheets>
    <sheet name="1 - General information" sheetId="47" r:id="rId1"/>
    <sheet name="2 - Description of the work" sheetId="41" r:id="rId2"/>
    <sheet name="3 - Summary of costs" sheetId="46" r:id="rId3"/>
    <sheet name="4 - Request for payment" sheetId="44" r:id="rId4"/>
    <sheet name="Sommaire_Datech" sheetId="45" state="hidden" r:id="rId5"/>
    <sheet name="Calculs" sheetId="20" state="hidden" r:id="rId6"/>
    <sheet name="Contrôle" sheetId="36" state="hidden" r:id="rId7"/>
    <sheet name="Table 4 ASHRAE" sheetId="6" state="hidden" r:id="rId8"/>
    <sheet name="R fenêtre" sheetId="12" state="hidden" r:id="rId9"/>
    <sheet name="Niveau fenêtre" sheetId="13" state="hidden" r:id="rId10"/>
    <sheet name="MJ par m² fenêtre" sheetId="16" state="hidden" r:id="rId11"/>
    <sheet name="Energy_Star Fenêtre" sheetId="43" state="hidden" r:id="rId12"/>
    <sheet name="Niveau toit" sheetId="22" state="hidden" r:id="rId13"/>
    <sheet name="MJ par m² toit" sheetId="23" state="hidden" r:id="rId14"/>
    <sheet name="Niveau murs hors sol" sheetId="27" state="hidden" r:id="rId15"/>
    <sheet name="MJ par m² murs hors sol" sheetId="28" state="hidden" r:id="rId16"/>
    <sheet name="Niveau murs sous-sol" sheetId="30" state="hidden" r:id="rId17"/>
    <sheet name="MJ par m² murs sous-sol" sheetId="31" state="hidden" r:id="rId18"/>
    <sheet name="Autres mesures" sheetId="39" state="hidden" r:id="rId19"/>
  </sheets>
  <definedNames>
    <definedName name="Graphiste" localSheetId="3">'4 - Request for payment'!$A$1:$K$77</definedName>
    <definedName name="Info" localSheetId="2">'3 - Summary of costs'!$A$1:$J$50</definedName>
    <definedName name="Région" localSheetId="6">Contrôle!$G$3:$G$11</definedName>
    <definedName name="Sheink" localSheetId="1">'2 - Description of the work'!$A$1:$P$152</definedName>
    <definedName name="_xlnm.Print_Area" localSheetId="0">'1 - General information'!$A$1:$N$98</definedName>
    <definedName name="_xlnm.Print_Area" localSheetId="1">'2 - Description of the work'!$A$1:$P$152</definedName>
    <definedName name="_xlnm.Print_Area" localSheetId="2">'3 - Summary of costs'!$A$1:$J$46</definedName>
    <definedName name="_xlnm.Print_Area" localSheetId="3">'4 - Request for payment'!$A$1:$K$77</definedName>
    <definedName name="_xlnm.Print_Area" localSheetId="4">Sommaire_Datech!$A$1:$L$51</definedName>
  </definedNames>
  <calcPr calcId="191029"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6" i="22" l="1"/>
  <c r="M5" i="22"/>
  <c r="S7" i="22" s="1"/>
  <c r="O132" i="41" a="1"/>
  <c r="O132" i="41" s="1"/>
  <c r="O103" i="41" a="1"/>
  <c r="O103" i="41" s="1"/>
  <c r="O47" i="41" a="1"/>
  <c r="O47" i="41" s="1"/>
  <c r="H133" i="41" l="1" a="1"/>
  <c r="H133" i="41" s="1"/>
  <c r="C131" i="41"/>
  <c r="H104" i="41" a="1"/>
  <c r="H104" i="41" s="1"/>
  <c r="C102" i="41"/>
  <c r="H48" i="41" a="1"/>
  <c r="H48" i="41" s="1"/>
  <c r="N5" i="22" s="1"/>
  <c r="R16" i="30"/>
  <c r="R17" i="27"/>
  <c r="Q19" i="22"/>
  <c r="Q18" i="22"/>
  <c r="Q17" i="22"/>
  <c r="C46" i="41"/>
  <c r="E89" i="20"/>
  <c r="E85" i="20"/>
  <c r="E69" i="20"/>
  <c r="E83" i="20"/>
  <c r="E67" i="20"/>
  <c r="R5" i="30" l="1"/>
  <c r="R5" i="27"/>
  <c r="Q7" i="22"/>
  <c r="Q6" i="22"/>
  <c r="Q5" i="22"/>
  <c r="F17" i="44" l="1"/>
  <c r="F16" i="44"/>
  <c r="K128" i="41" l="1"/>
  <c r="K99" i="41" l="1"/>
  <c r="K43" i="41" l="1"/>
  <c r="J10" i="41" l="1"/>
  <c r="E71" i="20" l="1"/>
  <c r="J28" i="45" l="1"/>
  <c r="E12" i="44" l="1"/>
  <c r="E8" i="44"/>
  <c r="E73" i="20" l="1"/>
  <c r="F18" i="44" s="1"/>
  <c r="I25" i="44" s="1"/>
  <c r="H11" i="46" l="1"/>
  <c r="H12" i="46"/>
  <c r="H13" i="46"/>
  <c r="H14" i="46"/>
  <c r="H15" i="46"/>
  <c r="H16" i="46"/>
  <c r="H17" i="46"/>
  <c r="H18" i="46"/>
  <c r="H19" i="46"/>
  <c r="H20" i="46"/>
  <c r="H21" i="46"/>
  <c r="H22" i="46"/>
  <c r="H23" i="46"/>
  <c r="H24" i="46"/>
  <c r="H25" i="46"/>
  <c r="H26" i="46"/>
  <c r="H27" i="46"/>
  <c r="H28" i="46"/>
  <c r="H29" i="46"/>
  <c r="H30" i="46"/>
  <c r="H31" i="46"/>
  <c r="H32" i="46"/>
  <c r="H33" i="46"/>
  <c r="H34" i="46"/>
  <c r="F38" i="46"/>
  <c r="F39" i="46"/>
  <c r="F40" i="46"/>
  <c r="F41" i="46"/>
  <c r="H27" i="45"/>
  <c r="F27" i="45"/>
  <c r="E27" i="45"/>
  <c r="F24" i="45"/>
  <c r="E24" i="45"/>
  <c r="D40" i="46"/>
  <c r="E40" i="46"/>
  <c r="D41" i="46"/>
  <c r="D39" i="46" l="1"/>
  <c r="D38" i="46"/>
  <c r="G40" i="46"/>
  <c r="E41" i="46"/>
  <c r="E38" i="46"/>
  <c r="E39" i="46"/>
  <c r="H16" i="45"/>
  <c r="H14" i="45"/>
  <c r="J12" i="45"/>
  <c r="J11" i="45"/>
  <c r="I10" i="45"/>
  <c r="I9" i="45"/>
  <c r="I8" i="45"/>
  <c r="I7" i="45"/>
  <c r="I6" i="45"/>
  <c r="I5" i="45"/>
  <c r="I30" i="45" l="1"/>
  <c r="G27" i="44"/>
  <c r="G39" i="46"/>
  <c r="G38" i="46"/>
  <c r="G25" i="44" s="1"/>
  <c r="G41" i="46"/>
  <c r="I31" i="45" l="1"/>
  <c r="G28" i="44"/>
  <c r="I28" i="45"/>
  <c r="I29" i="45"/>
  <c r="G26" i="44"/>
  <c r="S10" i="30"/>
  <c r="S10" i="27"/>
  <c r="K102" i="41"/>
  <c r="I34" i="45" l="1"/>
  <c r="K104" i="41"/>
  <c r="G7" i="27"/>
  <c r="G7" i="30"/>
  <c r="K48" i="41"/>
  <c r="K46" i="41" l="1"/>
  <c r="F15" i="44" l="1"/>
  <c r="I9" i="44"/>
  <c r="I8" i="44"/>
  <c r="E11" i="44"/>
  <c r="E10" i="44"/>
  <c r="E9" i="44"/>
  <c r="H25" i="44"/>
  <c r="J99" i="41"/>
  <c r="N6" i="30"/>
  <c r="N5" i="30"/>
  <c r="N5" i="27"/>
  <c r="N6" i="27"/>
  <c r="P5" i="22"/>
  <c r="P17" i="22" s="1"/>
  <c r="P6" i="22"/>
  <c r="P18" i="22" s="1"/>
  <c r="P7" i="22"/>
  <c r="P19" i="22" s="1"/>
  <c r="M6" i="22"/>
  <c r="G9" i="22" s="1"/>
  <c r="J43" i="41"/>
  <c r="H17" i="45"/>
  <c r="H15" i="45"/>
  <c r="S5" i="36"/>
  <c r="S4" i="36"/>
  <c r="S3" i="36"/>
  <c r="C13" i="39"/>
  <c r="D13" i="39" s="1"/>
  <c r="E13" i="39" s="1"/>
  <c r="C12" i="39"/>
  <c r="D12" i="39" s="1"/>
  <c r="G7" i="22"/>
  <c r="G8" i="22" l="1"/>
  <c r="Q12" i="22"/>
  <c r="Q11" i="22"/>
  <c r="Q10" i="22"/>
  <c r="E12" i="39"/>
  <c r="D14" i="39"/>
  <c r="J102" i="41"/>
  <c r="J104" i="41"/>
  <c r="J48" i="41"/>
  <c r="J46" i="41"/>
  <c r="M6" i="27"/>
  <c r="G8" i="27" s="1"/>
  <c r="M5" i="27"/>
  <c r="T5" i="27" s="1"/>
  <c r="G5" i="22"/>
  <c r="E29" i="45" s="1"/>
  <c r="G10" i="22" l="1"/>
  <c r="T10" i="27"/>
  <c r="C108" i="41"/>
  <c r="C69" i="41"/>
  <c r="C68" i="41"/>
  <c r="J128" i="41"/>
  <c r="G5" i="27"/>
  <c r="C70" i="41"/>
  <c r="M6" i="30"/>
  <c r="M5" i="30"/>
  <c r="T5" i="30" s="1"/>
  <c r="C137" i="41" s="1"/>
  <c r="J5" i="22" l="1"/>
  <c r="H29" i="45" s="1"/>
  <c r="K29" i="45" s="1"/>
  <c r="H52" i="41"/>
  <c r="E26" i="44"/>
  <c r="D29" i="45"/>
  <c r="G9" i="27"/>
  <c r="J5" i="27" s="1"/>
  <c r="H30" i="45" s="1"/>
  <c r="K30" i="45" s="1"/>
  <c r="E30" i="45"/>
  <c r="G6" i="22"/>
  <c r="F29" i="45" s="1"/>
  <c r="J131" i="41"/>
  <c r="J133" i="41"/>
  <c r="G5" i="30"/>
  <c r="E31" i="45" s="1"/>
  <c r="T10" i="30"/>
  <c r="K133" i="41"/>
  <c r="K131" i="41"/>
  <c r="G8" i="30"/>
  <c r="E27" i="44" l="1"/>
  <c r="H106" i="41"/>
  <c r="D30" i="45"/>
  <c r="F27" i="44"/>
  <c r="I27" i="44" s="1"/>
  <c r="F26" i="44"/>
  <c r="I26" i="44" s="1"/>
  <c r="G9" i="30"/>
  <c r="M8" i="13"/>
  <c r="M12" i="13" s="1"/>
  <c r="R8" i="13"/>
  <c r="R13" i="13" s="1"/>
  <c r="S6" i="13"/>
  <c r="D16" i="41"/>
  <c r="D12" i="43"/>
  <c r="B12" i="43" s="1"/>
  <c r="B10" i="43"/>
  <c r="D11" i="43"/>
  <c r="B11" i="43" s="1"/>
  <c r="U5" i="13"/>
  <c r="F9" i="13" s="1"/>
  <c r="U4" i="13"/>
  <c r="E28" i="45" s="1"/>
  <c r="I10" i="41"/>
  <c r="G16" i="41" s="1"/>
  <c r="T5" i="13"/>
  <c r="T6" i="13" s="1"/>
  <c r="T4" i="13"/>
  <c r="E28" i="44" l="1"/>
  <c r="J5" i="30"/>
  <c r="H31" i="45" s="1"/>
  <c r="K31" i="45" s="1"/>
  <c r="H135" i="41"/>
  <c r="D31" i="45"/>
  <c r="G6" i="30"/>
  <c r="U6" i="13"/>
  <c r="M11" i="13"/>
  <c r="R12" i="13"/>
  <c r="R10" i="13"/>
  <c r="R11" i="13"/>
  <c r="M10" i="13"/>
  <c r="M13" i="13"/>
  <c r="E16" i="41"/>
  <c r="J30" i="41"/>
  <c r="N11" i="13"/>
  <c r="N12" i="13"/>
  <c r="N13" i="13"/>
  <c r="N10" i="13"/>
  <c r="F31" i="45" l="1"/>
  <c r="I5" i="30"/>
  <c r="H16" i="41"/>
  <c r="F28" i="44"/>
  <c r="I28" i="44" s="1"/>
  <c r="I30" i="44" s="1"/>
  <c r="Q11" i="13" l="1"/>
  <c r="Q12" i="13"/>
  <c r="Q13" i="13"/>
  <c r="Q10" i="13"/>
  <c r="Q14" i="13" l="1"/>
  <c r="V4" i="13"/>
  <c r="S11" i="13"/>
  <c r="AD11" i="13" s="1"/>
  <c r="T11" i="13"/>
  <c r="AE11" i="13" s="1"/>
  <c r="U11" i="13"/>
  <c r="AF11" i="13" s="1"/>
  <c r="V11" i="13"/>
  <c r="AG11" i="13" s="1"/>
  <c r="W11" i="13"/>
  <c r="AH11" i="13" s="1"/>
  <c r="X11" i="13"/>
  <c r="AI11" i="13" s="1"/>
  <c r="S12" i="13"/>
  <c r="AD12" i="13" s="1"/>
  <c r="T12" i="13"/>
  <c r="AE12" i="13" s="1"/>
  <c r="U12" i="13"/>
  <c r="AF12" i="13" s="1"/>
  <c r="V12" i="13"/>
  <c r="AG12" i="13" s="1"/>
  <c r="W12" i="13"/>
  <c r="AH12" i="13" s="1"/>
  <c r="X12" i="13"/>
  <c r="AI12" i="13" s="1"/>
  <c r="S13" i="13"/>
  <c r="AD13" i="13" s="1"/>
  <c r="T13" i="13"/>
  <c r="AE13" i="13" s="1"/>
  <c r="U13" i="13"/>
  <c r="AF13" i="13" s="1"/>
  <c r="V13" i="13"/>
  <c r="AG13" i="13" s="1"/>
  <c r="W13" i="13"/>
  <c r="AH13" i="13" s="1"/>
  <c r="X13" i="13"/>
  <c r="AI13" i="13" s="1"/>
  <c r="T10" i="13"/>
  <c r="AE10" i="13" s="1"/>
  <c r="U10" i="13"/>
  <c r="AF10" i="13" s="1"/>
  <c r="V10" i="13"/>
  <c r="AG10" i="13" s="1"/>
  <c r="W10" i="13"/>
  <c r="AH10" i="13" s="1"/>
  <c r="X10" i="13"/>
  <c r="AI10" i="13" s="1"/>
  <c r="S10" i="13"/>
  <c r="AD10" i="13" s="1"/>
  <c r="AC13" i="13" l="1"/>
  <c r="Z13" i="13" s="1"/>
  <c r="AA13" i="13" s="1"/>
  <c r="AB13" i="13" s="1"/>
  <c r="V5" i="13"/>
  <c r="AC12" i="13"/>
  <c r="AC11" i="13"/>
  <c r="AC10" i="13"/>
  <c r="O13" i="13" l="1"/>
  <c r="J34" i="41" l="1"/>
  <c r="P13" i="13"/>
  <c r="H109" i="12"/>
  <c r="H108" i="12"/>
  <c r="H107" i="12"/>
  <c r="H106" i="12"/>
  <c r="H105" i="12"/>
  <c r="H104" i="12"/>
  <c r="H103" i="12"/>
  <c r="H102" i="12"/>
  <c r="H101" i="12"/>
  <c r="H100" i="12"/>
  <c r="H99" i="12"/>
  <c r="H98" i="12"/>
  <c r="H97" i="12"/>
  <c r="H96" i="12"/>
  <c r="H95" i="12"/>
  <c r="H94" i="12"/>
  <c r="H93" i="12"/>
  <c r="H92" i="12"/>
  <c r="H91" i="12"/>
  <c r="H90" i="12"/>
  <c r="H89" i="12"/>
  <c r="H88" i="12"/>
  <c r="H87" i="12"/>
  <c r="H86" i="12"/>
  <c r="H85" i="12"/>
  <c r="H84" i="12"/>
  <c r="H83" i="12"/>
  <c r="H82" i="12"/>
  <c r="H81" i="12"/>
  <c r="H80" i="12"/>
  <c r="H79" i="12"/>
  <c r="H78" i="12"/>
  <c r="H77" i="12"/>
  <c r="H76" i="12"/>
  <c r="H75" i="12"/>
  <c r="H74" i="12"/>
  <c r="H73" i="12"/>
  <c r="H72" i="12"/>
  <c r="H71" i="12"/>
  <c r="H70" i="12"/>
  <c r="H69" i="12"/>
  <c r="H68" i="12"/>
  <c r="H67" i="12"/>
  <c r="H66" i="12"/>
  <c r="H65" i="12"/>
  <c r="H64" i="12"/>
  <c r="H63" i="12"/>
  <c r="H62" i="12"/>
  <c r="H61" i="12"/>
  <c r="H60" i="12"/>
  <c r="H59" i="12"/>
  <c r="H58" i="12"/>
  <c r="H57" i="12"/>
  <c r="H56" i="12"/>
  <c r="H55" i="12"/>
  <c r="H54" i="12"/>
  <c r="H53" i="12"/>
  <c r="H52" i="12"/>
  <c r="H51" i="12"/>
  <c r="H50" i="12"/>
  <c r="H49" i="12"/>
  <c r="H48" i="12"/>
  <c r="H47" i="12"/>
  <c r="H46" i="12"/>
  <c r="H45" i="12"/>
  <c r="H44" i="12"/>
  <c r="H43" i="12"/>
  <c r="H42" i="12"/>
  <c r="H41" i="12"/>
  <c r="H40" i="12"/>
  <c r="H39" i="12"/>
  <c r="H38" i="12"/>
  <c r="H37" i="12"/>
  <c r="H36" i="12"/>
  <c r="H35" i="12"/>
  <c r="H34" i="12"/>
  <c r="H33" i="12"/>
  <c r="H32" i="12"/>
  <c r="H31" i="12"/>
  <c r="H30" i="12"/>
  <c r="H29" i="12"/>
  <c r="H28" i="12"/>
  <c r="H27" i="12"/>
  <c r="H26" i="12"/>
  <c r="H25" i="12"/>
  <c r="H24" i="12"/>
  <c r="H23" i="12"/>
  <c r="H22" i="12"/>
  <c r="H21" i="12"/>
  <c r="H20" i="12"/>
  <c r="H19" i="12"/>
  <c r="H18" i="12"/>
  <c r="H17" i="12"/>
  <c r="H16" i="12"/>
  <c r="H15" i="12"/>
  <c r="H14" i="12"/>
  <c r="H13" i="12"/>
  <c r="H12" i="12"/>
  <c r="H11" i="12"/>
  <c r="H10" i="12"/>
  <c r="H9" i="12"/>
  <c r="H8" i="12"/>
  <c r="H7" i="12"/>
  <c r="H6" i="12"/>
  <c r="H5" i="12"/>
  <c r="H4" i="12"/>
  <c r="H3" i="12"/>
  <c r="H2" i="12"/>
  <c r="I2" i="12" s="1"/>
  <c r="J2" i="12"/>
  <c r="K2" i="12"/>
  <c r="L2" i="12"/>
  <c r="M2" i="12"/>
  <c r="N2" i="12"/>
  <c r="O2" i="12"/>
  <c r="G13" i="13" l="1"/>
  <c r="G20" i="41"/>
  <c r="F13" i="13" l="1"/>
  <c r="H13" i="13"/>
  <c r="I13" i="13" s="1"/>
  <c r="E54" i="20"/>
  <c r="E56" i="20"/>
  <c r="M3" i="12"/>
  <c r="M4" i="12"/>
  <c r="M5" i="12"/>
  <c r="M6" i="12"/>
  <c r="M7" i="12"/>
  <c r="M8" i="12"/>
  <c r="M9" i="12"/>
  <c r="M10" i="12"/>
  <c r="M11" i="12"/>
  <c r="M12" i="12"/>
  <c r="M13" i="12"/>
  <c r="M14" i="12"/>
  <c r="M15" i="12"/>
  <c r="M16" i="12"/>
  <c r="M17" i="12"/>
  <c r="M18" i="12"/>
  <c r="M19" i="12"/>
  <c r="M20" i="12"/>
  <c r="M21" i="12"/>
  <c r="M22" i="12"/>
  <c r="M23" i="12"/>
  <c r="M24" i="12"/>
  <c r="M25" i="12"/>
  <c r="M26" i="12"/>
  <c r="M27" i="12"/>
  <c r="M28" i="12"/>
  <c r="M29" i="12"/>
  <c r="M30" i="12"/>
  <c r="M31" i="12"/>
  <c r="M32" i="12"/>
  <c r="M33" i="12"/>
  <c r="M34" i="12"/>
  <c r="M35" i="12"/>
  <c r="M36" i="12"/>
  <c r="M37" i="12"/>
  <c r="M38" i="12"/>
  <c r="M39" i="12"/>
  <c r="M40" i="12"/>
  <c r="M41" i="12"/>
  <c r="M42" i="12"/>
  <c r="M43" i="12"/>
  <c r="M44" i="12"/>
  <c r="M45" i="12"/>
  <c r="M46" i="12"/>
  <c r="M47" i="12"/>
  <c r="M48" i="12"/>
  <c r="M49" i="12"/>
  <c r="M50" i="12"/>
  <c r="M51" i="12"/>
  <c r="M52" i="12"/>
  <c r="M53" i="12"/>
  <c r="M54" i="12"/>
  <c r="M55" i="12"/>
  <c r="M56" i="12"/>
  <c r="M57" i="12"/>
  <c r="M58" i="12"/>
  <c r="M59" i="12"/>
  <c r="M60" i="12"/>
  <c r="M61" i="12"/>
  <c r="M62" i="12"/>
  <c r="M63" i="12"/>
  <c r="M64" i="12"/>
  <c r="M65" i="12"/>
  <c r="M66" i="12"/>
  <c r="M67" i="12"/>
  <c r="M68" i="12"/>
  <c r="M69" i="12"/>
  <c r="M70" i="12"/>
  <c r="M71" i="12"/>
  <c r="M72" i="12"/>
  <c r="M73" i="12"/>
  <c r="M74" i="12"/>
  <c r="M75" i="12"/>
  <c r="M76" i="12"/>
  <c r="M77" i="12"/>
  <c r="M78" i="12"/>
  <c r="M79" i="12"/>
  <c r="M80" i="12"/>
  <c r="M81" i="12"/>
  <c r="M82" i="12"/>
  <c r="M83" i="12"/>
  <c r="M84" i="12"/>
  <c r="M85" i="12"/>
  <c r="M86" i="12"/>
  <c r="M87" i="12"/>
  <c r="M88" i="12"/>
  <c r="M89" i="12"/>
  <c r="M90" i="12"/>
  <c r="M91" i="12"/>
  <c r="M92" i="12"/>
  <c r="M93" i="12"/>
  <c r="M94" i="12"/>
  <c r="M95" i="12"/>
  <c r="M96" i="12"/>
  <c r="M97" i="12"/>
  <c r="M98" i="12"/>
  <c r="M99" i="12"/>
  <c r="M100" i="12"/>
  <c r="M101" i="12"/>
  <c r="M102" i="12"/>
  <c r="M103" i="12"/>
  <c r="M104" i="12"/>
  <c r="M105" i="12"/>
  <c r="M106" i="12"/>
  <c r="M107" i="12"/>
  <c r="M108" i="12"/>
  <c r="M109" i="12"/>
  <c r="O3" i="12"/>
  <c r="O4" i="12"/>
  <c r="O5" i="12"/>
  <c r="O6" i="12"/>
  <c r="O7" i="12"/>
  <c r="O8" i="12"/>
  <c r="O9" i="12"/>
  <c r="O10" i="12"/>
  <c r="O11" i="12"/>
  <c r="O12" i="12"/>
  <c r="O13" i="12"/>
  <c r="O14" i="12"/>
  <c r="O15" i="12"/>
  <c r="O16" i="12"/>
  <c r="O17" i="12"/>
  <c r="O18" i="12"/>
  <c r="O19" i="12"/>
  <c r="O20" i="12"/>
  <c r="O21" i="12"/>
  <c r="O22" i="12"/>
  <c r="O23" i="12"/>
  <c r="O24" i="12"/>
  <c r="O25" i="12"/>
  <c r="O26" i="12"/>
  <c r="O27" i="12"/>
  <c r="O28" i="12"/>
  <c r="O29" i="12"/>
  <c r="O30" i="12"/>
  <c r="O31" i="12"/>
  <c r="O32" i="12"/>
  <c r="O33" i="12"/>
  <c r="O34" i="12"/>
  <c r="O35" i="12"/>
  <c r="O36" i="12"/>
  <c r="O37" i="12"/>
  <c r="O38" i="12"/>
  <c r="O39" i="12"/>
  <c r="O40" i="12"/>
  <c r="O41" i="12"/>
  <c r="O42" i="12"/>
  <c r="O43" i="12"/>
  <c r="O44" i="12"/>
  <c r="O45" i="12"/>
  <c r="O46" i="12"/>
  <c r="O47" i="12"/>
  <c r="O48" i="12"/>
  <c r="O49" i="12"/>
  <c r="O50" i="12"/>
  <c r="O51" i="12"/>
  <c r="O52" i="12"/>
  <c r="O53" i="12"/>
  <c r="O54" i="12"/>
  <c r="O55" i="12"/>
  <c r="O56" i="12"/>
  <c r="O57" i="12"/>
  <c r="O58" i="12"/>
  <c r="O59" i="12"/>
  <c r="O60" i="12"/>
  <c r="O61" i="12"/>
  <c r="O62" i="12"/>
  <c r="O63" i="12"/>
  <c r="O64" i="12"/>
  <c r="O65" i="12"/>
  <c r="O66" i="12"/>
  <c r="O67" i="12"/>
  <c r="O68" i="12"/>
  <c r="O69" i="12"/>
  <c r="O70" i="12"/>
  <c r="O71" i="12"/>
  <c r="O72" i="12"/>
  <c r="O73" i="12"/>
  <c r="O74" i="12"/>
  <c r="O75" i="12"/>
  <c r="O76" i="12"/>
  <c r="O77" i="12"/>
  <c r="O78" i="12"/>
  <c r="O79" i="12"/>
  <c r="O80" i="12"/>
  <c r="O81" i="12"/>
  <c r="O82" i="12"/>
  <c r="O83" i="12"/>
  <c r="O84" i="12"/>
  <c r="O85" i="12"/>
  <c r="O86" i="12"/>
  <c r="O87" i="12"/>
  <c r="O88" i="12"/>
  <c r="O89" i="12"/>
  <c r="O90" i="12"/>
  <c r="O91" i="12"/>
  <c r="O92" i="12"/>
  <c r="O93" i="12"/>
  <c r="O94" i="12"/>
  <c r="O95" i="12"/>
  <c r="O96" i="12"/>
  <c r="O97" i="12"/>
  <c r="O98" i="12"/>
  <c r="O99" i="12"/>
  <c r="O100" i="12"/>
  <c r="O101" i="12"/>
  <c r="O102" i="12"/>
  <c r="O103" i="12"/>
  <c r="O104" i="12"/>
  <c r="O105" i="12"/>
  <c r="O106" i="12"/>
  <c r="O107" i="12"/>
  <c r="O108" i="12"/>
  <c r="O109" i="12"/>
  <c r="N3" i="12"/>
  <c r="N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31" i="12"/>
  <c r="N32" i="12"/>
  <c r="N33" i="12"/>
  <c r="N34" i="12"/>
  <c r="N35" i="12"/>
  <c r="N36" i="12"/>
  <c r="N37" i="12"/>
  <c r="N38" i="12"/>
  <c r="N39" i="12"/>
  <c r="N40" i="12"/>
  <c r="N41" i="12"/>
  <c r="N42" i="12"/>
  <c r="N43" i="12"/>
  <c r="N44" i="12"/>
  <c r="N45" i="12"/>
  <c r="N46" i="12"/>
  <c r="N47" i="12"/>
  <c r="N48" i="12"/>
  <c r="N49" i="12"/>
  <c r="N50" i="12"/>
  <c r="N51" i="12"/>
  <c r="N52" i="12"/>
  <c r="N53" i="12"/>
  <c r="N54" i="12"/>
  <c r="N55" i="12"/>
  <c r="N56" i="12"/>
  <c r="N57" i="12"/>
  <c r="N58" i="12"/>
  <c r="N59" i="12"/>
  <c r="N60" i="12"/>
  <c r="N61" i="12"/>
  <c r="N62" i="12"/>
  <c r="N63" i="12"/>
  <c r="N64" i="12"/>
  <c r="N65" i="12"/>
  <c r="N66" i="12"/>
  <c r="N67" i="12"/>
  <c r="N68" i="12"/>
  <c r="N69" i="12"/>
  <c r="N70" i="12"/>
  <c r="N71" i="12"/>
  <c r="N72" i="12"/>
  <c r="N73" i="12"/>
  <c r="N74" i="12"/>
  <c r="N75" i="12"/>
  <c r="N76" i="12"/>
  <c r="N77" i="12"/>
  <c r="N78" i="12"/>
  <c r="N79" i="12"/>
  <c r="N80" i="12"/>
  <c r="N81" i="12"/>
  <c r="N82" i="12"/>
  <c r="N83" i="12"/>
  <c r="N84" i="12"/>
  <c r="N85" i="12"/>
  <c r="N86" i="12"/>
  <c r="N87" i="12"/>
  <c r="N88" i="12"/>
  <c r="N89" i="12"/>
  <c r="N90" i="12"/>
  <c r="N91" i="12"/>
  <c r="N92" i="12"/>
  <c r="N93" i="12"/>
  <c r="N94" i="12"/>
  <c r="N95" i="12"/>
  <c r="N96" i="12"/>
  <c r="N97" i="12"/>
  <c r="N98" i="12"/>
  <c r="N99" i="12"/>
  <c r="N100" i="12"/>
  <c r="N101" i="12"/>
  <c r="N102" i="12"/>
  <c r="N103" i="12"/>
  <c r="N104" i="12"/>
  <c r="N105" i="12"/>
  <c r="N106" i="12"/>
  <c r="N107" i="12"/>
  <c r="N108" i="12"/>
  <c r="N109" i="12"/>
  <c r="L3" i="12"/>
  <c r="L4" i="12"/>
  <c r="L5" i="12"/>
  <c r="L6" i="12"/>
  <c r="L7" i="12"/>
  <c r="L8" i="12"/>
  <c r="L9" i="12"/>
  <c r="L10" i="12"/>
  <c r="L11" i="12"/>
  <c r="L12" i="12"/>
  <c r="L13" i="12"/>
  <c r="L14" i="12"/>
  <c r="L15" i="12"/>
  <c r="L16" i="12"/>
  <c r="L17" i="12"/>
  <c r="L18" i="12"/>
  <c r="L19" i="12"/>
  <c r="L20" i="12"/>
  <c r="L21" i="12"/>
  <c r="L22" i="12"/>
  <c r="L23" i="12"/>
  <c r="L24" i="12"/>
  <c r="L25" i="12"/>
  <c r="L26" i="12"/>
  <c r="L27" i="12"/>
  <c r="L28" i="12"/>
  <c r="L29" i="12"/>
  <c r="L30" i="12"/>
  <c r="L31" i="12"/>
  <c r="L32" i="12"/>
  <c r="L33" i="12"/>
  <c r="L34" i="12"/>
  <c r="L35" i="12"/>
  <c r="L36" i="12"/>
  <c r="L37" i="12"/>
  <c r="L38" i="12"/>
  <c r="L39" i="12"/>
  <c r="L40" i="12"/>
  <c r="L41" i="12"/>
  <c r="L42" i="12"/>
  <c r="L43" i="12"/>
  <c r="L44" i="12"/>
  <c r="L45" i="12"/>
  <c r="L46" i="12"/>
  <c r="L47"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98" i="12"/>
  <c r="L99" i="12"/>
  <c r="L100" i="12"/>
  <c r="L101" i="12"/>
  <c r="L102" i="12"/>
  <c r="L103" i="12"/>
  <c r="L104" i="12"/>
  <c r="L105" i="12"/>
  <c r="L106" i="12"/>
  <c r="L107" i="12"/>
  <c r="L108" i="12"/>
  <c r="L109" i="12"/>
  <c r="K3" i="12"/>
  <c r="K4" i="12"/>
  <c r="K5" i="12"/>
  <c r="K6" i="12"/>
  <c r="K7" i="12"/>
  <c r="K8" i="12"/>
  <c r="K9" i="12"/>
  <c r="K10" i="12"/>
  <c r="K11" i="12"/>
  <c r="K12" i="12"/>
  <c r="K13" i="12"/>
  <c r="K14" i="12"/>
  <c r="K15" i="12"/>
  <c r="K16" i="12"/>
  <c r="K17" i="12"/>
  <c r="K18" i="12"/>
  <c r="K19" i="12"/>
  <c r="K20" i="12"/>
  <c r="K21" i="12"/>
  <c r="K22" i="12"/>
  <c r="K23" i="12"/>
  <c r="K24" i="12"/>
  <c r="K25" i="12"/>
  <c r="K26" i="12"/>
  <c r="K27" i="12"/>
  <c r="K28" i="12"/>
  <c r="K29" i="12"/>
  <c r="K30" i="12"/>
  <c r="K31" i="12"/>
  <c r="K32" i="12"/>
  <c r="K33" i="12"/>
  <c r="K34" i="12"/>
  <c r="K35" i="12"/>
  <c r="K36" i="12"/>
  <c r="K37" i="12"/>
  <c r="K38" i="12"/>
  <c r="K39" i="12"/>
  <c r="K40" i="12"/>
  <c r="K41" i="12"/>
  <c r="K42" i="12"/>
  <c r="K43" i="12"/>
  <c r="K44" i="12"/>
  <c r="K45" i="12"/>
  <c r="K46" i="12"/>
  <c r="K47" i="12"/>
  <c r="K48" i="12"/>
  <c r="K49" i="12"/>
  <c r="K50" i="12"/>
  <c r="K51" i="12"/>
  <c r="K52" i="12"/>
  <c r="K53" i="12"/>
  <c r="K54" i="12"/>
  <c r="K55" i="12"/>
  <c r="K56" i="12"/>
  <c r="K57" i="12"/>
  <c r="K58" i="12"/>
  <c r="K59" i="12"/>
  <c r="K60" i="12"/>
  <c r="K61" i="12"/>
  <c r="K62" i="12"/>
  <c r="K63" i="12"/>
  <c r="K64" i="12"/>
  <c r="K65" i="12"/>
  <c r="K66" i="12"/>
  <c r="K67" i="12"/>
  <c r="K68" i="12"/>
  <c r="K69" i="12"/>
  <c r="K70" i="12"/>
  <c r="K71" i="12"/>
  <c r="K72" i="12"/>
  <c r="K73" i="12"/>
  <c r="K74" i="12"/>
  <c r="K75" i="12"/>
  <c r="K76" i="12"/>
  <c r="K77" i="12"/>
  <c r="K78" i="12"/>
  <c r="K79" i="12"/>
  <c r="K80" i="12"/>
  <c r="K81" i="12"/>
  <c r="K82" i="12"/>
  <c r="K83" i="12"/>
  <c r="K84" i="12"/>
  <c r="K85" i="12"/>
  <c r="K86" i="12"/>
  <c r="K87" i="12"/>
  <c r="K88" i="12"/>
  <c r="K89" i="12"/>
  <c r="K90" i="12"/>
  <c r="K91" i="12"/>
  <c r="K92" i="12"/>
  <c r="K93" i="12"/>
  <c r="K94" i="12"/>
  <c r="K95" i="12"/>
  <c r="K96" i="12"/>
  <c r="K97" i="12"/>
  <c r="K98" i="12"/>
  <c r="K99" i="12"/>
  <c r="K100" i="12"/>
  <c r="K101" i="12"/>
  <c r="K102" i="12"/>
  <c r="K103" i="12"/>
  <c r="K104" i="12"/>
  <c r="K105" i="12"/>
  <c r="K106" i="12"/>
  <c r="K107" i="12"/>
  <c r="K108" i="12"/>
  <c r="K109" i="12"/>
  <c r="J3" i="12"/>
  <c r="J4" i="12"/>
  <c r="J5" i="12"/>
  <c r="J6" i="12"/>
  <c r="J7" i="12"/>
  <c r="J8" i="12"/>
  <c r="J9" i="12"/>
  <c r="J10" i="12"/>
  <c r="J11" i="12"/>
  <c r="J12" i="12"/>
  <c r="J13" i="12"/>
  <c r="J14" i="12"/>
  <c r="J15" i="12"/>
  <c r="J16" i="12"/>
  <c r="J17" i="12"/>
  <c r="J18" i="12"/>
  <c r="J19" i="12"/>
  <c r="J20" i="12"/>
  <c r="J21" i="12"/>
  <c r="J22" i="12"/>
  <c r="J23" i="12"/>
  <c r="J24" i="12"/>
  <c r="J25" i="12"/>
  <c r="J26" i="12"/>
  <c r="J27" i="12"/>
  <c r="J28" i="12"/>
  <c r="J29" i="12"/>
  <c r="J30" i="12"/>
  <c r="J31" i="12"/>
  <c r="J32" i="12"/>
  <c r="J33" i="12"/>
  <c r="J34" i="12"/>
  <c r="J35" i="12"/>
  <c r="J36" i="12"/>
  <c r="J37" i="12"/>
  <c r="J38" i="12"/>
  <c r="J39" i="12"/>
  <c r="J40" i="12"/>
  <c r="J41" i="12"/>
  <c r="J42" i="12"/>
  <c r="J43" i="12"/>
  <c r="J44" i="12"/>
  <c r="J45" i="12"/>
  <c r="J46" i="12"/>
  <c r="J47" i="12"/>
  <c r="J48" i="12"/>
  <c r="J49" i="12"/>
  <c r="J50" i="12"/>
  <c r="J51" i="12"/>
  <c r="J52" i="12"/>
  <c r="J53" i="12"/>
  <c r="J54" i="12"/>
  <c r="J55" i="12"/>
  <c r="J56" i="12"/>
  <c r="J57" i="12"/>
  <c r="J58" i="12"/>
  <c r="J59" i="12"/>
  <c r="J60" i="12"/>
  <c r="J61" i="12"/>
  <c r="J62" i="12"/>
  <c r="J63" i="12"/>
  <c r="J64" i="12"/>
  <c r="J65" i="12"/>
  <c r="J66" i="12"/>
  <c r="J67" i="12"/>
  <c r="J68" i="12"/>
  <c r="J69" i="12"/>
  <c r="J70" i="12"/>
  <c r="J71" i="12"/>
  <c r="J72" i="12"/>
  <c r="J73" i="12"/>
  <c r="J74" i="12"/>
  <c r="J75" i="12"/>
  <c r="J76" i="12"/>
  <c r="J77" i="12"/>
  <c r="J78" i="12"/>
  <c r="J79" i="12"/>
  <c r="J80" i="12"/>
  <c r="J81" i="12"/>
  <c r="J82" i="12"/>
  <c r="J83" i="12"/>
  <c r="J84" i="12"/>
  <c r="J85" i="12"/>
  <c r="J86" i="12"/>
  <c r="J87" i="12"/>
  <c r="J88" i="12"/>
  <c r="J89" i="12"/>
  <c r="J90" i="12"/>
  <c r="J91" i="12"/>
  <c r="J92" i="12"/>
  <c r="J93" i="12"/>
  <c r="J94" i="12"/>
  <c r="J95" i="12"/>
  <c r="J96" i="12"/>
  <c r="J97" i="12"/>
  <c r="J98" i="12"/>
  <c r="J99" i="12"/>
  <c r="J100" i="12"/>
  <c r="J101" i="12"/>
  <c r="J102" i="12"/>
  <c r="J103" i="12"/>
  <c r="J104" i="12"/>
  <c r="J105" i="12"/>
  <c r="J106" i="12"/>
  <c r="J107" i="12"/>
  <c r="J108" i="12"/>
  <c r="J109" i="12"/>
  <c r="A2" i="12"/>
  <c r="B6" i="30"/>
  <c r="B7" i="30" s="1"/>
  <c r="B8" i="30" s="1"/>
  <c r="B9" i="30" s="1"/>
  <c r="B10" i="30" s="1"/>
  <c r="B11" i="30" s="1"/>
  <c r="B12" i="30" s="1"/>
  <c r="B13" i="30" s="1"/>
  <c r="B14" i="30" s="1"/>
  <c r="B15" i="30" s="1"/>
  <c r="B16" i="30" s="1"/>
  <c r="B17" i="30" s="1"/>
  <c r="B18" i="30" s="1"/>
  <c r="B19" i="30" s="1"/>
  <c r="B20" i="30" s="1"/>
  <c r="B21" i="30" s="1"/>
  <c r="B22" i="30" s="1"/>
  <c r="B23" i="30" s="1"/>
  <c r="B24" i="30" s="1"/>
  <c r="B25" i="30" s="1"/>
  <c r="B26" i="30" s="1"/>
  <c r="B27" i="30" s="1"/>
  <c r="B28" i="30" s="1"/>
  <c r="B29" i="30" s="1"/>
  <c r="B30" i="30" s="1"/>
  <c r="B31" i="30" s="1"/>
  <c r="C8" i="30"/>
  <c r="C9" i="30" s="1"/>
  <c r="C10" i="30" s="1"/>
  <c r="C11" i="30" s="1"/>
  <c r="C12" i="30" s="1"/>
  <c r="C13" i="30" s="1"/>
  <c r="C14" i="30" s="1"/>
  <c r="C15" i="30" s="1"/>
  <c r="C16" i="30" s="1"/>
  <c r="C17" i="30" s="1"/>
  <c r="C18" i="30" s="1"/>
  <c r="C19" i="30" s="1"/>
  <c r="C20" i="30" s="1"/>
  <c r="C21" i="30" s="1"/>
  <c r="C22" i="30" s="1"/>
  <c r="C23" i="30" s="1"/>
  <c r="C24" i="30" s="1"/>
  <c r="C25" i="30" s="1"/>
  <c r="C26" i="30" s="1"/>
  <c r="C27" i="30" s="1"/>
  <c r="C28" i="30" s="1"/>
  <c r="C29" i="30" s="1"/>
  <c r="C30" i="30" s="1"/>
  <c r="C31" i="30" s="1"/>
  <c r="B7" i="27"/>
  <c r="B8" i="27" s="1"/>
  <c r="B9" i="27" s="1"/>
  <c r="B10" i="27" s="1"/>
  <c r="B11" i="27" s="1"/>
  <c r="B12" i="27" s="1"/>
  <c r="B13" i="27" s="1"/>
  <c r="B14" i="27" s="1"/>
  <c r="B15" i="27" s="1"/>
  <c r="B16" i="27" s="1"/>
  <c r="B17" i="27" s="1"/>
  <c r="B18" i="27" s="1"/>
  <c r="B19" i="27" s="1"/>
  <c r="B20" i="27" s="1"/>
  <c r="C7" i="27"/>
  <c r="C8" i="27" s="1"/>
  <c r="C9" i="27" s="1"/>
  <c r="C10" i="27" s="1"/>
  <c r="C11" i="27" s="1"/>
  <c r="C12" i="27" s="1"/>
  <c r="C13" i="27" s="1"/>
  <c r="C14" i="27" s="1"/>
  <c r="C15" i="27" s="1"/>
  <c r="C16" i="27" s="1"/>
  <c r="C17" i="27" s="1"/>
  <c r="C18" i="27" s="1"/>
  <c r="C19" i="27" s="1"/>
  <c r="C20" i="27" s="1"/>
  <c r="C21" i="27" s="1"/>
  <c r="C22" i="27" s="1"/>
  <c r="C23" i="27" s="1"/>
  <c r="C24" i="27" s="1"/>
  <c r="C25" i="27" s="1"/>
  <c r="C26" i="27" s="1"/>
  <c r="C27" i="27" s="1"/>
  <c r="C28" i="27" s="1"/>
  <c r="C29" i="27" s="1"/>
  <c r="C30" i="27" s="1"/>
  <c r="C31" i="27" s="1"/>
  <c r="C32" i="27" s="1"/>
  <c r="C33" i="27" s="1"/>
  <c r="C34" i="27" s="1"/>
  <c r="C35" i="27" s="1"/>
  <c r="I90" i="12"/>
  <c r="I89" i="12"/>
  <c r="I88" i="12"/>
  <c r="I86" i="12"/>
  <c r="I82" i="12"/>
  <c r="I78" i="12"/>
  <c r="I76" i="12"/>
  <c r="I36" i="12"/>
  <c r="I34" i="12"/>
  <c r="I32" i="12"/>
  <c r="I30" i="12"/>
  <c r="I28" i="12"/>
  <c r="I26" i="12"/>
  <c r="I24" i="12"/>
  <c r="I22" i="12"/>
  <c r="I91" i="12"/>
  <c r="I87" i="12"/>
  <c r="I85" i="12"/>
  <c r="I84" i="12"/>
  <c r="I83" i="12"/>
  <c r="I81" i="12"/>
  <c r="I80" i="12"/>
  <c r="I79" i="12"/>
  <c r="I77" i="12"/>
  <c r="I75" i="12"/>
  <c r="I74" i="12"/>
  <c r="I37" i="12"/>
  <c r="I35" i="12"/>
  <c r="I33" i="12"/>
  <c r="I31" i="12"/>
  <c r="I29" i="12"/>
  <c r="I27" i="12"/>
  <c r="I25" i="12"/>
  <c r="I23" i="12"/>
  <c r="I21" i="12"/>
  <c r="I20" i="12"/>
  <c r="I96" i="12"/>
  <c r="I73" i="12"/>
  <c r="I68" i="12"/>
  <c r="I66" i="12"/>
  <c r="I67" i="12"/>
  <c r="I69" i="12"/>
  <c r="I70" i="12"/>
  <c r="I71" i="12"/>
  <c r="I72" i="12"/>
  <c r="I92" i="12"/>
  <c r="I93" i="12"/>
  <c r="I94" i="12"/>
  <c r="I95" i="12"/>
  <c r="I97" i="12"/>
  <c r="I98" i="12"/>
  <c r="I99" i="12"/>
  <c r="I100" i="12"/>
  <c r="I101" i="12"/>
  <c r="I102" i="12"/>
  <c r="I103" i="12"/>
  <c r="I104" i="12"/>
  <c r="I105" i="12"/>
  <c r="I106" i="12"/>
  <c r="I107" i="12"/>
  <c r="I108" i="12"/>
  <c r="I109" i="12"/>
  <c r="I62" i="12"/>
  <c r="I63" i="12"/>
  <c r="I64" i="12"/>
  <c r="I65" i="12"/>
  <c r="I58" i="12"/>
  <c r="I59" i="12"/>
  <c r="I60" i="12"/>
  <c r="I61" i="12"/>
  <c r="I56" i="12"/>
  <c r="I57" i="12"/>
  <c r="I52" i="12"/>
  <c r="I53" i="12"/>
  <c r="I54" i="12"/>
  <c r="I55" i="12"/>
  <c r="I48" i="12"/>
  <c r="I49" i="12"/>
  <c r="I50" i="12"/>
  <c r="I51" i="12"/>
  <c r="I44" i="12"/>
  <c r="I45" i="12"/>
  <c r="I46" i="12"/>
  <c r="I47" i="12"/>
  <c r="I40" i="12"/>
  <c r="I41" i="12"/>
  <c r="I42" i="12"/>
  <c r="I43" i="12"/>
  <c r="I38" i="12"/>
  <c r="I39" i="12"/>
  <c r="I16" i="12"/>
  <c r="I17" i="12"/>
  <c r="I18" i="12"/>
  <c r="I19" i="12"/>
  <c r="I12" i="12"/>
  <c r="I13" i="12"/>
  <c r="I14" i="12"/>
  <c r="I15" i="12"/>
  <c r="I11" i="12"/>
  <c r="I9" i="12"/>
  <c r="I10" i="12"/>
  <c r="I8" i="12"/>
  <c r="I7" i="12"/>
  <c r="I6" i="12"/>
  <c r="I5" i="12"/>
  <c r="I4" i="12"/>
  <c r="I3" i="12"/>
  <c r="H20" i="41" l="1"/>
  <c r="J13" i="13"/>
  <c r="K13" i="13" s="1"/>
  <c r="A24" i="12"/>
  <c r="A8" i="12"/>
  <c r="A104" i="12"/>
  <c r="A72" i="12"/>
  <c r="A56" i="12"/>
  <c r="A32" i="12"/>
  <c r="A16" i="12"/>
  <c r="A109" i="12"/>
  <c r="A47" i="12"/>
  <c r="A44" i="12"/>
  <c r="A96" i="12"/>
  <c r="A88" i="12"/>
  <c r="A80" i="12"/>
  <c r="A64" i="12"/>
  <c r="A48" i="12"/>
  <c r="A40" i="12"/>
  <c r="A107" i="12"/>
  <c r="A99" i="12"/>
  <c r="A91" i="12"/>
  <c r="A83" i="12"/>
  <c r="A75" i="12"/>
  <c r="A67" i="12"/>
  <c r="A59" i="12"/>
  <c r="A51" i="12"/>
  <c r="A43" i="12"/>
  <c r="A35" i="12"/>
  <c r="A27" i="12"/>
  <c r="A19" i="12"/>
  <c r="A11" i="12"/>
  <c r="A3" i="12"/>
  <c r="A37" i="12"/>
  <c r="A22" i="12"/>
  <c r="A6" i="12"/>
  <c r="A12" i="12"/>
  <c r="A95" i="12"/>
  <c r="A39" i="12"/>
  <c r="A31" i="12"/>
  <c r="A7" i="12"/>
  <c r="Z12" i="13" s="1"/>
  <c r="AA12" i="13" s="1"/>
  <c r="AB12" i="13" s="1"/>
  <c r="A50" i="12"/>
  <c r="A42" i="12"/>
  <c r="A78" i="12"/>
  <c r="A89" i="12"/>
  <c r="A73" i="12"/>
  <c r="A105" i="12"/>
  <c r="A65" i="12"/>
  <c r="A70" i="12"/>
  <c r="A62" i="12"/>
  <c r="A54" i="12"/>
  <c r="A46" i="12"/>
  <c r="A38" i="12"/>
  <c r="A30" i="12"/>
  <c r="A14" i="12"/>
  <c r="A9" i="12"/>
  <c r="A102" i="12"/>
  <c r="A94" i="12"/>
  <c r="A86" i="12"/>
  <c r="A97" i="12"/>
  <c r="A81" i="12"/>
  <c r="A57" i="12"/>
  <c r="A49" i="12"/>
  <c r="A41" i="12"/>
  <c r="A33" i="12"/>
  <c r="A25" i="12"/>
  <c r="A17" i="12"/>
  <c r="A108" i="12"/>
  <c r="A100" i="12"/>
  <c r="A92" i="12"/>
  <c r="A84" i="12"/>
  <c r="A76" i="12"/>
  <c r="A68" i="12"/>
  <c r="A60" i="12"/>
  <c r="A52" i="12"/>
  <c r="A36" i="12"/>
  <c r="A28" i="12"/>
  <c r="A20" i="12"/>
  <c r="A4" i="12"/>
  <c r="A103" i="12"/>
  <c r="A87" i="12"/>
  <c r="A79" i="12"/>
  <c r="A71" i="12"/>
  <c r="A63" i="12"/>
  <c r="A55" i="12"/>
  <c r="A23" i="12"/>
  <c r="A15" i="12"/>
  <c r="A106" i="12"/>
  <c r="A98" i="12"/>
  <c r="A90" i="12"/>
  <c r="A82" i="12"/>
  <c r="A74" i="12"/>
  <c r="A66" i="12"/>
  <c r="A58" i="12"/>
  <c r="A34" i="12"/>
  <c r="A26" i="12"/>
  <c r="A18" i="12"/>
  <c r="A10" i="12"/>
  <c r="A101" i="12"/>
  <c r="A93" i="12"/>
  <c r="A85" i="12"/>
  <c r="A77" i="12"/>
  <c r="A69" i="12"/>
  <c r="A61" i="12"/>
  <c r="A53" i="12"/>
  <c r="A45" i="12"/>
  <c r="A29" i="12"/>
  <c r="A21" i="12"/>
  <c r="A13" i="12"/>
  <c r="A5" i="12"/>
  <c r="B21" i="27"/>
  <c r="B22" i="27" s="1"/>
  <c r="B23" i="27" s="1"/>
  <c r="B24" i="27" s="1"/>
  <c r="B25" i="27" s="1"/>
  <c r="B26" i="27" s="1"/>
  <c r="B27" i="27" s="1"/>
  <c r="B28" i="27" s="1"/>
  <c r="B29" i="27" s="1"/>
  <c r="B30" i="27" s="1"/>
  <c r="B31" i="27" s="1"/>
  <c r="B32" i="27" s="1"/>
  <c r="B33" i="27" s="1"/>
  <c r="B34" i="27" s="1"/>
  <c r="B35" i="27" s="1"/>
  <c r="H6" i="30"/>
  <c r="H5" i="30"/>
  <c r="E58" i="20"/>
  <c r="E60" i="20" s="1"/>
  <c r="H6" i="22"/>
  <c r="H5" i="22"/>
  <c r="H5" i="27"/>
  <c r="Z11" i="13" l="1"/>
  <c r="AA11" i="13" s="1"/>
  <c r="AB11" i="13" s="1"/>
  <c r="K5" i="30"/>
  <c r="E42" i="20" s="1"/>
  <c r="Z10" i="13"/>
  <c r="I5" i="22"/>
  <c r="K5" i="22" s="1"/>
  <c r="E18" i="20" s="1"/>
  <c r="E48" i="20" l="1"/>
  <c r="E50" i="20" s="1"/>
  <c r="E44" i="20"/>
  <c r="E46" i="20" s="1"/>
  <c r="G31" i="45" s="1"/>
  <c r="E24" i="20"/>
  <c r="E26" i="20" s="1"/>
  <c r="E20" i="20"/>
  <c r="E22" i="20" s="1"/>
  <c r="AA10" i="13"/>
  <c r="AB10" i="13" s="1"/>
  <c r="O11" i="13"/>
  <c r="J32" i="41" l="1"/>
  <c r="G29" i="45"/>
  <c r="P11" i="13"/>
  <c r="O10" i="13"/>
  <c r="O12" i="13"/>
  <c r="J33" i="41" l="1"/>
  <c r="J31" i="41"/>
  <c r="G11" i="13"/>
  <c r="G18" i="41"/>
  <c r="P10" i="13"/>
  <c r="P12" i="13"/>
  <c r="F11" i="13" l="1"/>
  <c r="H11" i="13"/>
  <c r="I11" i="13" s="1"/>
  <c r="G12" i="13"/>
  <c r="G19" i="41"/>
  <c r="G10" i="13"/>
  <c r="F10" i="13" s="1"/>
  <c r="G17" i="41"/>
  <c r="H18" i="41" l="1"/>
  <c r="J11" i="13"/>
  <c r="K11" i="13" s="1"/>
  <c r="H17" i="41"/>
  <c r="J10" i="13"/>
  <c r="F12" i="13"/>
  <c r="H12" i="13"/>
  <c r="I12" i="13" s="1"/>
  <c r="H10" i="13"/>
  <c r="I10" i="13" s="1"/>
  <c r="H19" i="41" l="1"/>
  <c r="J12" i="13"/>
  <c r="J14" i="13" s="1"/>
  <c r="H28" i="45" s="1"/>
  <c r="K28" i="45" s="1"/>
  <c r="F14" i="13"/>
  <c r="D28" i="45" s="1"/>
  <c r="K10" i="13"/>
  <c r="K34" i="45" l="1"/>
  <c r="E25" i="44"/>
  <c r="K12" i="13"/>
  <c r="K14" i="13" s="1"/>
  <c r="F25" i="44"/>
  <c r="I14" i="13" l="1"/>
  <c r="E25" i="13" s="1"/>
  <c r="E6" i="20"/>
  <c r="E8" i="20" l="1"/>
  <c r="E10" i="20" s="1"/>
  <c r="E12" i="20"/>
  <c r="E14" i="20" s="1"/>
  <c r="F25" i="13"/>
  <c r="G25" i="13" s="1"/>
  <c r="F28" i="45" s="1"/>
  <c r="G6" i="27"/>
  <c r="G28" i="45" l="1"/>
  <c r="F30" i="45"/>
  <c r="H6" i="27"/>
  <c r="I5" i="27" l="1"/>
  <c r="K5" i="27" s="1"/>
  <c r="E30" i="20" s="1"/>
  <c r="E36" i="20" l="1"/>
  <c r="E38" i="20" s="1"/>
  <c r="E32" i="20"/>
  <c r="E34" i="20" s="1"/>
  <c r="E65" i="20"/>
  <c r="E75" i="20" s="1"/>
  <c r="E77" i="20" s="1"/>
  <c r="E81" i="20"/>
  <c r="E91" i="20" s="1"/>
  <c r="G30" i="45" l="1"/>
  <c r="G34" i="4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tc={2A03F165-2995-4534-90B5-C227E92BDD7E}</author>
    <author>tc={102927DD-8D36-41C6-9DD5-0011B1E81B56}</author>
    <author>tc={C36A4700-EAEC-49EA-A7D9-AF00585F3DA4}</author>
  </authors>
  <commentList>
    <comment ref="B5" authorId="0" shapeId="0" xr:uid="{2A03F165-2995-4534-90B5-C227E92BDD7E}">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À finaliser en fonction des commentaires</t>
      </text>
    </comment>
    <comment ref="H18" authorId="1" shapeId="0" xr:uid="{102927DD-8D36-41C6-9DD5-0011B1E81B56}">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À corriger
Réponse :
    Propose que le champ puisse être rempli à titre indicatif</t>
      </text>
    </comment>
    <comment ref="H19" authorId="2" shapeId="0" xr:uid="{C36A4700-EAEC-49EA-A7D9-AF00585F3DA4}">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Serait changé ici au besoin</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Philippe Paquette</author>
    <author>tc={3C61A203-136B-4C8D-8278-B728DE5AECF2}</author>
    <author>Eppner Fanny</author>
  </authors>
  <commentList>
    <comment ref="B52" authorId="0" shapeId="0" xr:uid="{728AB96A-E194-4285-9E68-081AEF440112}">
      <text>
        <r>
          <rPr>
            <b/>
            <sz val="9"/>
            <color indexed="81"/>
            <rFont val="Tahoma"/>
            <family val="2"/>
          </rPr>
          <t>Philippe Paquette:</t>
        </r>
        <r>
          <rPr>
            <sz val="9"/>
            <color indexed="81"/>
            <rFont val="Tahoma"/>
            <family val="2"/>
          </rPr>
          <t xml:space="preserve">
2020-05-08
Retrait du programme. Cellule laissé pour référence future.</t>
        </r>
      </text>
    </comment>
    <comment ref="E71" authorId="1" shapeId="0" xr:uid="{3C61A203-136B-4C8D-8278-B728DE5AECF2}">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À vérifier quel efficacité mettre de base</t>
      </text>
    </comment>
    <comment ref="E87" authorId="2" shapeId="0" xr:uid="{18C2A9A0-4FC1-46F4-AC72-E85AAD7960E5}">
      <text>
        <r>
          <rPr>
            <b/>
            <sz val="9"/>
            <color indexed="81"/>
            <rFont val="Tahoma"/>
            <family val="2"/>
          </rPr>
          <t>Eppner Fanny:</t>
        </r>
        <r>
          <rPr>
            <sz val="9"/>
            <color indexed="81"/>
            <rFont val="Tahoma"/>
            <family val="2"/>
          </rPr>
          <t xml:space="preserve">
Fixer à 100%, mais possible de modifier la valeur au cas par cas.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Philippe Paquette</author>
    <author>tc={1D16269B-40DA-49AF-AD29-6871B58CA413}</author>
  </authors>
  <commentList>
    <comment ref="L2" authorId="0" shapeId="0" xr:uid="{1F227D7C-F133-47BA-B14A-600402F54091}">
      <text>
        <r>
          <rPr>
            <b/>
            <sz val="9"/>
            <color indexed="81"/>
            <rFont val="Tahoma"/>
            <family val="2"/>
          </rPr>
          <t>Philippe Paquette:</t>
        </r>
        <r>
          <rPr>
            <sz val="9"/>
            <color indexed="81"/>
            <rFont val="Tahoma"/>
            <family val="2"/>
          </rPr>
          <t xml:space="preserve">
Plus nécessaire
</t>
        </r>
      </text>
    </comment>
    <comment ref="S5" authorId="1" shapeId="0" xr:uid="{1D16269B-40DA-49AF-AD29-6871B58CA413}">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Evaluation: Form PE233/G74, G76, G77
No formatting G74
No formatting G76
No formatting G77
Réponse :
    pas nécessaire merci</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Philippe Paquette</author>
  </authors>
  <commentList>
    <comment ref="C10" authorId="0" shapeId="0" xr:uid="{9A572046-0077-460D-BC55-7A0F2BA1B646}">
      <text>
        <r>
          <rPr>
            <b/>
            <sz val="9"/>
            <color indexed="81"/>
            <rFont val="Tahoma"/>
            <family val="2"/>
          </rPr>
          <t>Philippe Paquette:</t>
        </r>
        <r>
          <rPr>
            <sz val="9"/>
            <color indexed="81"/>
            <rFont val="Tahoma"/>
            <family val="2"/>
          </rPr>
          <t xml:space="preserve">
Obtenu par valeur cible tel que:
RE_min = 34</t>
        </r>
      </text>
    </comment>
    <comment ref="E11" authorId="0" shapeId="0" xr:uid="{10AB8AB5-787F-48C7-A2C8-717A8BCA6621}">
      <text>
        <r>
          <rPr>
            <b/>
            <sz val="9"/>
            <color indexed="81"/>
            <rFont val="Tahoma"/>
            <family val="2"/>
          </rPr>
          <t>Philippe Paquette:</t>
        </r>
        <r>
          <rPr>
            <sz val="9"/>
            <color indexed="81"/>
            <rFont val="Tahoma"/>
            <family val="2"/>
          </rPr>
          <t xml:space="preserve">
Pas spécifié dans le guide GES 2010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Eppner Fanny</author>
  </authors>
  <commentList>
    <comment ref="O14" authorId="0" shapeId="0" xr:uid="{0F5A1BC4-2887-476F-B726-B7E52ABAEB87}">
      <text>
        <r>
          <rPr>
            <b/>
            <sz val="9"/>
            <color indexed="81"/>
            <rFont val="Tahoma"/>
            <family val="2"/>
          </rPr>
          <t>Eppner Fanny:</t>
        </r>
        <r>
          <rPr>
            <sz val="9"/>
            <color indexed="81"/>
            <rFont val="Tahoma"/>
            <family val="2"/>
          </rPr>
          <t xml:space="preserve">
A la suite de l'évaluation du volet en 2023, les valeurs de RSI du REENB 1983 sont utilisées comme valeur de référence avant rénovation (3,10 au lieu de 3,45 précédemment (valeur du CMNÉB 1997)). Date du commentaire: 15 septembre 2023</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Eppner Fanny</author>
  </authors>
  <commentList>
    <comment ref="P16" authorId="0" shapeId="0" xr:uid="{7BDA65F6-6764-4A00-A117-738F1826FA81}">
      <text>
        <r>
          <rPr>
            <b/>
            <sz val="9"/>
            <color indexed="81"/>
            <rFont val="Tahoma"/>
            <family val="2"/>
          </rPr>
          <t>Eppner Fanny:</t>
        </r>
        <r>
          <rPr>
            <sz val="9"/>
            <color indexed="81"/>
            <rFont val="Tahoma"/>
            <family val="2"/>
          </rPr>
          <t xml:space="preserve">
A la suite de l'évaluation du volet en 2023, les valeurs de RSI du REENB 1983 sont utilisées comme valeur de référence avant rénovation (2,38 au lieu de 3)).  Date du commentaire: 15 septembre 2023</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Eppner Fanny</author>
  </authors>
  <commentList>
    <comment ref="P15" authorId="0" shapeId="0" xr:uid="{39243292-768A-44D2-846E-9B98274A941D}">
      <text>
        <r>
          <rPr>
            <b/>
            <sz val="9"/>
            <color indexed="81"/>
            <rFont val="Tahoma"/>
            <family val="2"/>
          </rPr>
          <t>Eppner Fanny:</t>
        </r>
        <r>
          <rPr>
            <sz val="9"/>
            <color indexed="81"/>
            <rFont val="Tahoma"/>
            <family val="2"/>
          </rPr>
          <t xml:space="preserve">
A la suite de l'évaluation du volet en 2023, les valeurs de RSI du REENB 1983 sont utilisées comme valeur de référence avant rénovation (2,20 au lieu de 2,40)).  Date du commentaire: 15 septembre 2023</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Philippe Paquette</author>
  </authors>
  <commentList>
    <comment ref="G3" authorId="0" shapeId="0" xr:uid="{B99A9FBE-2F92-4AA0-96CB-426F2992507E}">
      <text>
        <r>
          <rPr>
            <b/>
            <sz val="9"/>
            <color indexed="81"/>
            <rFont val="Tahoma"/>
            <family val="2"/>
          </rPr>
          <t>Philippe Paquette:</t>
        </r>
        <r>
          <rPr>
            <sz val="9"/>
            <color indexed="81"/>
            <rFont val="Tahoma"/>
            <family val="2"/>
          </rPr>
          <t xml:space="preserve">
2020-05-08
Retrait du programme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<sst xmlns="http://schemas.openxmlformats.org/spreadsheetml/2006/main" count="1664" uniqueCount="574">
  <si>
    <t>Form II – After the work</t>
  </si>
  <si>
    <t>Energy Efficient Renovation Grant</t>
  </si>
  <si>
    <t>Building consuming less than 150,000 m³/year</t>
  </si>
  <si>
    <t>Énergir File No.PE233:</t>
  </si>
  <si>
    <r>
      <t xml:space="preserve">This form helps in the preparation of your file in order to obtain financial assistance under the Efficient Renovation Program (the Program). This document is addressed to current Énergir Business Market customers whose annual consumption of natural gas is </t>
    </r>
    <r>
      <rPr>
        <b/>
        <sz val="10"/>
        <color rgb="FF002F5F"/>
        <rFont val="Arial"/>
        <family val="2"/>
      </rPr>
      <t>less than 150,000 m</t>
    </r>
    <r>
      <rPr>
        <b/>
        <vertAlign val="superscript"/>
        <sz val="10"/>
        <color rgb="FF002F5F"/>
        <rFont val="Arial"/>
        <family val="2"/>
      </rPr>
      <t>3</t>
    </r>
    <r>
      <rPr>
        <sz val="10"/>
        <color rgb="FF002F5F"/>
        <rFont val="Arial"/>
        <family val="2"/>
      </rPr>
      <t xml:space="preserve"> and who wish to carry out renovation work aimed at replacing windows and /or improving the insulation of roofs or walls. To benefit from the financial assistance under this Program, the person making the request must respect the conditions of the Program, as approved and modified from time to time by the Régie de l'énergie. This Program will end automatically, without any advance notice, should the Régie de l'énergie cancel the Program or modify it in such a way that Énergir would no longer be authorized to award the financial assistance provided herein.</t>
    </r>
  </si>
  <si>
    <t>Section 1 – Information about this form</t>
  </si>
  <si>
    <t>Throughout this form, you need to provide the information requested by completing each of the fields in white framed in blue. In order to complete your request for financial assistance, please fill in and send us the following four spreadsheets:</t>
  </si>
  <si>
    <t>1 - General information</t>
  </si>
  <si>
    <t>Please complete sections 2 &amp; 3 on general information.</t>
  </si>
  <si>
    <t>2 - Description of the work</t>
  </si>
  <si>
    <t>Based on the renovations done, complete sections 1, 2, 3 and/or 4.</t>
  </si>
  <si>
    <t>3 - Summary of costs</t>
  </si>
  <si>
    <t xml:space="preserve">Please complete the fields in the table in order to define the costs of the work eligible for the grant. </t>
  </si>
  <si>
    <t>4 - Request for payment</t>
  </si>
  <si>
    <t>Please review and complete your request for payment.</t>
  </si>
  <si>
    <r>
      <t xml:space="preserve">Please submit this Excel form, as well as the supporting documents required, by e-mail to Énergir at the following address:
</t>
    </r>
    <r>
      <rPr>
        <b/>
        <sz val="10"/>
        <color rgb="FF009FDF"/>
        <rFont val="Arial"/>
        <family val="2"/>
      </rPr>
      <t>energyefficiency@energir.com</t>
    </r>
    <r>
      <rPr>
        <sz val="10"/>
        <color rgb="FF002F5F"/>
        <rFont val="Arial"/>
        <family val="2"/>
      </rPr>
      <t xml:space="preserve">
</t>
    </r>
    <r>
      <rPr>
        <b/>
        <sz val="10"/>
        <color rgb="FF002F5F"/>
        <rFont val="Arial"/>
        <family val="2"/>
      </rPr>
      <t>Important:</t>
    </r>
    <r>
      <rPr>
        <sz val="10"/>
        <color rgb="FF002F5F"/>
        <rFont val="Arial"/>
        <family val="2"/>
      </rPr>
      <t xml:space="preserve"> Please note that y</t>
    </r>
    <r>
      <rPr>
        <b/>
        <sz val="10"/>
        <color rgb="FF002F5F"/>
        <rFont val="Arial"/>
        <family val="2"/>
      </rPr>
      <t>ou have a maximum time limit of one year</t>
    </r>
    <r>
      <rPr>
        <sz val="10"/>
        <color rgb="FF002F5F"/>
        <rFont val="Arial"/>
        <family val="2"/>
      </rPr>
      <t>, following submission of your Declaration of Intent, to send all your documents to Énergir.</t>
    </r>
  </si>
  <si>
    <t>Section 2 – Identification of customer</t>
  </si>
  <si>
    <t>Address of facilities covered by the project and identification of customer</t>
  </si>
  <si>
    <t>Name of company:</t>
  </si>
  <si>
    <t>Énergir Account No.:</t>
  </si>
  <si>
    <t>Service address:</t>
  </si>
  <si>
    <t>Municipality:</t>
  </si>
  <si>
    <t>Postal code:</t>
  </si>
  <si>
    <t>Identification of resource person</t>
  </si>
  <si>
    <t>Resource person:</t>
  </si>
  <si>
    <t>Title:</t>
  </si>
  <si>
    <t>Building owner:</t>
  </si>
  <si>
    <t>Postal address (if different from that shown above):</t>
  </si>
  <si>
    <t>Telephone:</t>
  </si>
  <si>
    <t>Cell:</t>
  </si>
  <si>
    <t>E-mail:</t>
  </si>
  <si>
    <t>Section 3 – General information about the renovation project</t>
  </si>
  <si>
    <t>Information about the building</t>
  </si>
  <si>
    <t>Region:</t>
  </si>
  <si>
    <t>Type of building:</t>
  </si>
  <si>
    <t>(If different, please explain) :</t>
  </si>
  <si>
    <t>Type of natural gas heating system:</t>
  </si>
  <si>
    <t>Are there sources of heating other
than natural gas in the building?</t>
  </si>
  <si>
    <t>Please specify the % of the building's surface area heated by natural gas.</t>
  </si>
  <si>
    <t>%</t>
  </si>
  <si>
    <t>Information about the project</t>
  </si>
  <si>
    <t>Has the work already been completed?</t>
  </si>
  <si>
    <t>Date of start of work:</t>
  </si>
  <si>
    <t xml:space="preserve">Date of end of work:  </t>
  </si>
  <si>
    <t>(dd-mm-year)</t>
  </si>
  <si>
    <t>Please indicate the types of renovations covered by this request:</t>
  </si>
  <si>
    <t>Renovation of windows</t>
  </si>
  <si>
    <t>Renovation of above-ground walls</t>
  </si>
  <si>
    <t>Renovation of roof</t>
  </si>
  <si>
    <t>Renovation of below-ground walls</t>
  </si>
  <si>
    <t>Énergir reserves the right to modify the program or to end it at any time without advance notice. Énergir is not responsile for any lost e-mails.  Énergir promises to handle the requests submitted within a time limit it judges reasonable.</t>
  </si>
  <si>
    <r>
      <t xml:space="preserve">The financial contribution indicated may be reduced, if need be, based on the actual costs of acquisition and installation. The financial contribution may not exceed the actual costs of acquisition and installation.
</t>
    </r>
    <r>
      <rPr>
        <sz val="6"/>
        <color theme="1"/>
        <rFont val="Arial"/>
        <family val="2"/>
      </rPr>
      <t>Version 2020-07-01</t>
    </r>
  </si>
  <si>
    <t>Section 1 – Renovation of windows</t>
  </si>
  <si>
    <r>
      <t>Please choose ft</t>
    </r>
    <r>
      <rPr>
        <b/>
        <sz val="10"/>
        <color rgb="FF002F5F"/>
        <rFont val="Arial"/>
        <family val="2"/>
      </rPr>
      <t>²</t>
    </r>
    <r>
      <rPr>
        <sz val="10"/>
        <color rgb="FF002F5F"/>
        <rFont val="Arial"/>
        <family val="2"/>
      </rPr>
      <t xml:space="preserve"> or </t>
    </r>
    <r>
      <rPr>
        <b/>
        <sz val="10"/>
        <color rgb="FF002F5F"/>
        <rFont val="Arial"/>
        <family val="2"/>
      </rPr>
      <t>m²</t>
    </r>
    <r>
      <rPr>
        <sz val="10"/>
        <color rgb="FF002F5F"/>
        <rFont val="Arial"/>
        <family val="2"/>
      </rPr>
      <t xml:space="preserve"> when indicating the surface area of the windows:</t>
    </r>
  </si>
  <si>
    <r>
      <t xml:space="preserve">Please choose </t>
    </r>
    <r>
      <rPr>
        <b/>
        <sz val="10"/>
        <color rgb="FF002F5F"/>
        <rFont val="Arial"/>
        <family val="2"/>
      </rPr>
      <t>U, R or RSI</t>
    </r>
    <r>
      <rPr>
        <sz val="10"/>
        <color rgb="FF002F5F"/>
        <rFont val="Arial"/>
        <family val="2"/>
      </rPr>
      <t xml:space="preserve"> when indicating the the heat transfer factor:</t>
    </r>
  </si>
  <si>
    <t>* U = 1/RSI ; R = 5.678*RSI</t>
  </si>
  <si>
    <r>
      <t xml:space="preserve">Please indicate in the following table the </t>
    </r>
    <r>
      <rPr>
        <b/>
        <sz val="10"/>
        <color rgb="FF002F5F"/>
        <rFont val="Arial"/>
        <family val="2"/>
      </rPr>
      <t>total surface area and the U, R or RSI</t>
    </r>
    <r>
      <rPr>
        <sz val="10"/>
        <color rgb="FF002F5F"/>
        <rFont val="Arial"/>
        <family val="2"/>
      </rPr>
      <t xml:space="preserve"> factor for each window model installed. 
If the </t>
    </r>
    <r>
      <rPr>
        <b/>
        <sz val="10"/>
        <color rgb="FF002F5F"/>
        <rFont val="Arial"/>
        <family val="2"/>
      </rPr>
      <t>U, R or RSI factor is not available, please leave the corresponding column blank in Table 1.</t>
    </r>
    <r>
      <rPr>
        <sz val="10"/>
        <color rgb="FF002F5F"/>
        <rFont val="Arial"/>
        <family val="2"/>
      </rPr>
      <t xml:space="preserve"> The estimated factor in Table 2 will then be automatically selected.
</t>
    </r>
  </si>
  <si>
    <t>Table 1</t>
  </si>
  <si>
    <t>Window 
models</t>
  </si>
  <si>
    <t>Surface</t>
  </si>
  <si>
    <t>Factor*</t>
  </si>
  <si>
    <t>Certified
 Energy Star</t>
  </si>
  <si>
    <t>Factor chosen**</t>
  </si>
  <si>
    <t>Eligible</t>
  </si>
  <si>
    <r>
      <t xml:space="preserve">* If the window models have an </t>
    </r>
    <r>
      <rPr>
        <b/>
        <sz val="10"/>
        <color rgb="FF002F5F"/>
        <rFont val="Arial"/>
        <family val="2"/>
      </rPr>
      <t xml:space="preserve">Energy Star rating, please enter </t>
    </r>
    <r>
      <rPr>
        <b/>
        <sz val="10"/>
        <color rgb="FF009FDF"/>
        <rFont val="Arial"/>
        <family val="2"/>
      </rPr>
      <t>Factor U (1)</t>
    </r>
    <r>
      <rPr>
        <sz val="10"/>
        <color rgb="FF002F5F"/>
        <rFont val="Arial"/>
        <family val="2"/>
      </rPr>
      <t xml:space="preserve"> as indicated on the certificate.</t>
    </r>
  </si>
  <si>
    <t>** The "factor" entered manually takes precedence over the "estimated factor."</t>
  </si>
  <si>
    <r>
      <rPr>
        <b/>
        <u/>
        <sz val="10"/>
        <color rgb="FF002F5F"/>
        <rFont val="Arial"/>
        <family val="2"/>
      </rPr>
      <t>Only in the case where the factor is not available</t>
    </r>
    <r>
      <rPr>
        <u/>
        <sz val="10"/>
        <color rgb="FF002F5F"/>
        <rFont val="Arial"/>
        <family val="2"/>
      </rPr>
      <t>.</t>
    </r>
  </si>
  <si>
    <t xml:space="preserve">The following tool can help in estimating the factor. Please enter the characteristics of the window models installed. </t>
  </si>
  <si>
    <t>Table 2</t>
  </si>
  <si>
    <t>Window models</t>
  </si>
  <si>
    <t>Characteristics of window models installed</t>
  </si>
  <si>
    <t>Factor</t>
  </si>
  <si>
    <t>Glazing</t>
  </si>
  <si>
    <t>Type of window</t>
  </si>
  <si>
    <t>Framing</t>
  </si>
  <si>
    <t>Interstice</t>
  </si>
  <si>
    <t>Inert gas
(e.g. Argon)</t>
  </si>
  <si>
    <t>Low emissivity 
(Low-e)</t>
  </si>
  <si>
    <t>Section 2 – Renovation of roof</t>
  </si>
  <si>
    <t xml:space="preserve">Please choose ft² or m² when indicating the surface area of the renovated roof. </t>
  </si>
  <si>
    <r>
      <t xml:space="preserve">Please choose </t>
    </r>
    <r>
      <rPr>
        <b/>
        <sz val="10"/>
        <color rgb="FF002F5F"/>
        <rFont val="Arial"/>
        <family val="2"/>
      </rPr>
      <t>R or RSI</t>
    </r>
    <r>
      <rPr>
        <sz val="10"/>
        <color rgb="FF002F5F"/>
        <rFont val="Arial"/>
        <family val="2"/>
      </rPr>
      <t xml:space="preserve"> when indicating the heat transfer factor:</t>
    </r>
  </si>
  <si>
    <t>* R = 5.678*RSI</t>
  </si>
  <si>
    <t>Please indicate the type of roof:</t>
  </si>
  <si>
    <t>Based on the information entered in this section, 
the renovations to the roof will be eligible:</t>
  </si>
  <si>
    <t xml:space="preserve">Please describe the roof before and after the renovations. </t>
  </si>
  <si>
    <t>Roof (before)</t>
  </si>
  <si>
    <t>Roof (after)</t>
  </si>
  <si>
    <t>*Here is a non-exhaustive list of the terms that may be used in describing the roof: type of roof, frame, insulation shield, thickness of insulation shield, materials, etc.</t>
  </si>
  <si>
    <t>The minimum value prescribed by the NECB is:</t>
  </si>
  <si>
    <t>Building consuming less than 150 000 m³/year</t>
  </si>
  <si>
    <t>Section 3 – Renovation of above-ground walls</t>
  </si>
  <si>
    <t>Please choose ft² or m² when indicating the surface area of the renovated above-ground walls:</t>
  </si>
  <si>
    <t>* R = 5,678*RSI</t>
  </si>
  <si>
    <t>Based on the information entered in this section,  
the renovation of the above-ground walls will be eligible:</t>
  </si>
  <si>
    <t xml:space="preserve">Please describe the above-ground walls before and after the renovations. </t>
  </si>
  <si>
    <t>Above-ground walls (before)</t>
  </si>
  <si>
    <t>Above-ground walls (after)</t>
  </si>
  <si>
    <t>*Here is a non-exhaustive list of terms that may be used in describing the above-ground walls: type of wall, frame, insulation screen, thickness of insulation screen, materials, centre dimension, etc.</t>
  </si>
  <si>
    <t>Section 4 – Renovation of below-ground walls</t>
  </si>
  <si>
    <t>Please choose ft² ou m² when indicating the surface area of the renovated below-ground walls:</t>
  </si>
  <si>
    <t>Based on the information entered in this section, 
the renovation of the below-ground walls will be eligible:</t>
  </si>
  <si>
    <t>Please describe the below-ground walls before and after the renovations.</t>
  </si>
  <si>
    <t>Below-ground walls (before)</t>
  </si>
  <si>
    <t>Below-ground walls (after)</t>
  </si>
  <si>
    <t>* Here is a non-exhaustive list of terms that may be used to describe the below-ground walls: type of wall, frame, insulation screen, thickness of insulation screen, materials, centre dimension, etc.</t>
  </si>
  <si>
    <t>Section 1 – Summary of costs</t>
  </si>
  <si>
    <t>Please complete the fields in white in the following table to define the costs of the work eligible for the grant.</t>
  </si>
  <si>
    <t>Measure</t>
  </si>
  <si>
    <t>Bill No.</t>
  </si>
  <si>
    <t>Brief description</t>
  </si>
  <si>
    <t>Total costs of bill
(before taxes)</t>
  </si>
  <si>
    <t>% of costs of bill related to the measure</t>
  </si>
  <si>
    <t>Costs related to the measure</t>
  </si>
  <si>
    <t>Summary table of costs of eligible work</t>
  </si>
  <si>
    <t>% of eligible costs</t>
  </si>
  <si>
    <t>Eligible costs</t>
  </si>
  <si>
    <t>Section 1 – Summary of information</t>
  </si>
  <si>
    <t>Identification of customer</t>
  </si>
  <si>
    <t>Énergir File No. PE233:</t>
  </si>
  <si>
    <t>Section 2 – Calculation of estimated financial assistance</t>
  </si>
  <si>
    <t>Summmary of request for financial assistance</t>
  </si>
  <si>
    <t>Description</t>
  </si>
  <si>
    <t>Total surface area (m²)</t>
  </si>
  <si>
    <t>Eligible work surcharges</t>
  </si>
  <si>
    <t>Estimated financial assistance 
(max. 75% of costs)</t>
  </si>
  <si>
    <t>Total estimated financial assistance:</t>
  </si>
  <si>
    <t>*</t>
  </si>
  <si>
    <t xml:space="preserve">* The maximum amount of financial assistance is $40,000. Énergir also reserves the right to modify the final eligible amount after an analysis of the file. </t>
  </si>
  <si>
    <t>Section 3 – Declaration of other grants</t>
  </si>
  <si>
    <t>I also declare hereunder the financial assistance received, or expect to receive, from other organizations for the implementation of these measures:</t>
  </si>
  <si>
    <t>Name of organization</t>
  </si>
  <si>
    <t>Name of program</t>
  </si>
  <si>
    <t>Amount received
to date ($)</t>
  </si>
  <si>
    <t>Amount
to be received ($)</t>
  </si>
  <si>
    <t>Total amount expected ($)</t>
  </si>
  <si>
    <t>The participant agrees that Énergir may share information with outside organizations. The participant also agrees that Énergir may revise the amount of financial assistance to take other grants into account.</t>
  </si>
  <si>
    <t>Section 4 – Supporting documents and declaration</t>
  </si>
  <si>
    <t>I attached the following for analysis of the request:</t>
  </si>
  <si>
    <t>Photographs before the work (insulation work only)</t>
  </si>
  <si>
    <t>Photographs after the work</t>
  </si>
  <si>
    <t>Copy of quote from contractor</t>
  </si>
  <si>
    <t>Copy of bills for renovation work</t>
  </si>
  <si>
    <t xml:space="preserve">Technical datasheets for windows and insulation materials </t>
  </si>
  <si>
    <t>Customer authorization:</t>
  </si>
  <si>
    <r>
      <t>I acknowlege having read the eligibility criteria and all the conditions of the Program as described herein, as well as in Form 1</t>
    </r>
    <r>
      <rPr>
        <b/>
        <sz val="10"/>
        <color rgb="FF002F5F"/>
        <rFont val="Arial"/>
        <family val="2"/>
      </rPr>
      <t xml:space="preserve"> – Conditions and Declaration of Intent, </t>
    </r>
    <r>
      <rPr>
        <sz val="10"/>
        <color rgb="FF002F5F"/>
        <rFont val="Arial"/>
        <family val="2"/>
      </rPr>
      <t>and I confirm my respect of those conditions.
I certify that the information provided in all the documents transmitted under this Program are accurate and complete.
By signing below and transmitting this form by e-mail to Énergir, I hereby authorize Énergir** to use the information contained in this form for monitoring and evaluation purposes. All information provided will remain strictly confidential.</t>
    </r>
  </si>
  <si>
    <t>Name of customer's company:</t>
  </si>
  <si>
    <t>Name of resource person (customer):</t>
  </si>
  <si>
    <t>Date:</t>
  </si>
  <si>
    <t>Send this form in Excel to: energyefficiency@energir.com</t>
  </si>
  <si>
    <t>**This form must be sent by e-mail to Énergir by the customer or the customer's resource person with a copy to the customer.</t>
  </si>
  <si>
    <r>
      <t xml:space="preserve">The financial contribution indicated may be reduced, if need be, based on the actual costs of acquisition and installation. The financial contribution may not exceed the actual costs of acquisition and installation.
</t>
    </r>
    <r>
      <rPr>
        <sz val="6"/>
        <color rgb="FF002F5F"/>
        <rFont val="Arial"/>
        <family val="2"/>
      </rPr>
      <t>Version 2020-07-01</t>
    </r>
  </si>
  <si>
    <r>
      <rPr>
        <b/>
        <sz val="14"/>
        <color rgb="FF002F5F"/>
        <rFont val="Arial"/>
        <family val="2"/>
      </rPr>
      <t>Calcul d’aide financière estimé</t>
    </r>
    <r>
      <rPr>
        <b/>
        <sz val="12"/>
        <color rgb="FF002F5F"/>
        <rFont val="Arial"/>
        <family val="2"/>
      </rPr>
      <t xml:space="preserve">
</t>
    </r>
    <r>
      <rPr>
        <sz val="12"/>
        <color rgb="FF002F5F"/>
        <rFont val="Arial"/>
        <family val="2"/>
      </rPr>
      <t>Programme de rénovations efficaces</t>
    </r>
  </si>
  <si>
    <t>Afin d'afficher des cases vides lorsque les valeurs sont à 0. L'option "Afficher un zéro dans les cellules qui ont une valeur nulle" est désactivée</t>
  </si>
  <si>
    <t>RSI@R</t>
  </si>
  <si>
    <t>pi2@m2</t>
  </si>
  <si>
    <t>Date :</t>
  </si>
  <si>
    <t>Révisé par :</t>
  </si>
  <si>
    <t>Entreprise :</t>
  </si>
  <si>
    <t>Personne-ressource :</t>
  </si>
  <si>
    <t>Prénom Nom</t>
  </si>
  <si>
    <t>Adresse :</t>
  </si>
  <si>
    <t>Efficacité de l'appareil de chauffage :</t>
  </si>
  <si>
    <r>
      <t>N</t>
    </r>
    <r>
      <rPr>
        <vertAlign val="superscript"/>
        <sz val="10"/>
        <color rgb="FF002F5F"/>
        <rFont val="Arial"/>
        <family val="2"/>
      </rPr>
      <t>o</t>
    </r>
    <r>
      <rPr>
        <sz val="10"/>
        <color rgb="FF002F5F"/>
        <rFont val="Arial"/>
        <family val="2"/>
      </rPr>
      <t xml:space="preserve"> PEE :</t>
    </r>
  </si>
  <si>
    <r>
      <t>N</t>
    </r>
    <r>
      <rPr>
        <vertAlign val="superscript"/>
        <sz val="10"/>
        <color rgb="FF002F5F"/>
        <rFont val="Arial"/>
        <family val="2"/>
      </rPr>
      <t>o</t>
    </r>
    <r>
      <rPr>
        <sz val="10"/>
        <color rgb="FF002F5F"/>
        <rFont val="Arial"/>
        <family val="2"/>
      </rPr>
      <t xml:space="preserve"> de compte :</t>
    </r>
  </si>
  <si>
    <t>Données</t>
  </si>
  <si>
    <t>Région :</t>
  </si>
  <si>
    <t>Facteur correction région :</t>
  </si>
  <si>
    <t>Type de bâtiment :</t>
  </si>
  <si>
    <t>Facteur correction bâtiment :</t>
  </si>
  <si>
    <t>Consommation avant rénovations :</t>
  </si>
  <si>
    <t>m³/an</t>
  </si>
  <si>
    <t>Sommaire</t>
  </si>
  <si>
    <t>Choix des unitées</t>
  </si>
  <si>
    <t>R</t>
  </si>
  <si>
    <t>ft²</t>
  </si>
  <si>
    <t>Admissibles</t>
  </si>
  <si>
    <t>Économies d'énergie estimées (m³)</t>
  </si>
  <si>
    <t>Surcoûts des travaux admissible</t>
  </si>
  <si>
    <t>Aide financière estimée 
( max 75% des surcoûts )</t>
  </si>
  <si>
    <t>Rénovation des fenêtres</t>
  </si>
  <si>
    <t>Rénovation du toit</t>
  </si>
  <si>
    <t>Rénovation murs hors sol</t>
  </si>
  <si>
    <t>Rénovation murs sous le sol</t>
  </si>
  <si>
    <t>Total estimé de l'aide financière</t>
  </si>
  <si>
    <t>*Maximum 40 000$</t>
  </si>
  <si>
    <t>Statut du dossier :</t>
  </si>
  <si>
    <t>Dernière révision effectuée par :</t>
  </si>
  <si>
    <t>Date de la dernière révision :</t>
  </si>
  <si>
    <t>Énergir se réserve le droit de modifier le programme ou d’y mettre fin en tout temps, sans préavis. Énergir n’est pas responsable du courrier perdu. Énergir s’engage à traiter les demandes qui lui sont soumises dans des délais qu’elle juge raisonnables.</t>
  </si>
  <si>
    <r>
      <t xml:space="preserve">La contribution financière indiquée pourra être revue à la baisse, le cas échéant, en fonction des coûts réels d’acquisition et d’installation. La contribution financière ne pourra excéder les coûts réels d’acquisition et d’installation.
</t>
    </r>
    <r>
      <rPr>
        <sz val="6"/>
        <color rgb="FF002F5F"/>
        <rFont val="Arial"/>
        <family val="2"/>
      </rPr>
      <t>Version 2020-05-25</t>
    </r>
  </si>
  <si>
    <t>Calcul des économies</t>
  </si>
  <si>
    <t>Fenêtre</t>
  </si>
  <si>
    <t>MJ calculé à partir des MJ/m2 de l'onglet Niveau fenêtre multiplié par la superficie inscrite par le client dans l'onglet Formulaire PE233</t>
  </si>
  <si>
    <t>MJ Remplacement fenêtres  :</t>
  </si>
  <si>
    <t>MJ</t>
  </si>
  <si>
    <t>MJ calculé dans l'onglet Niveau fenêtre</t>
  </si>
  <si>
    <t>m³</t>
  </si>
  <si>
    <t>Sommation de toutes les économies pour les fenêtres en MJ divisé par 37,89 MJ/m3</t>
  </si>
  <si>
    <t>Économie admissible selon les facteurs de région, bâtiment ainsi que l'efficacité de l'appareil de chauffage multiplié par le % surface de chauffage</t>
  </si>
  <si>
    <t>Toit</t>
  </si>
  <si>
    <t>MJ calculé à partir des MJ/m2 de l'onglet Niveau toit multiplié par la superficie inscrite par le client dans l'onglet Formulaire PE233</t>
  </si>
  <si>
    <t>MJ toit :</t>
  </si>
  <si>
    <t>Sommation de toutes les économies pour le toit en MJ divisé par 37,89 MJ/m3</t>
  </si>
  <si>
    <t>Murs hors sol</t>
  </si>
  <si>
    <t>MJ calculé à partir des MJ/m2 de l'onglet Niveau hors sol multiplié par la superficie inscrite par le client dans l'onglet Formulaire PE233</t>
  </si>
  <si>
    <t>MJ murs hors sol :</t>
  </si>
  <si>
    <t>Sommation de toutes les économies pour le hors sol en MJ divisé par 37,89 MJ/m3</t>
  </si>
  <si>
    <t>Murs sous-sol</t>
  </si>
  <si>
    <t>MJ calculé à partir des MJ/m2 de l'onglet Niveau sous sol multiplié par la superficie inscrite par le client dans l'onglet Formulaire PE233</t>
  </si>
  <si>
    <t>MJ murs sous-sol :</t>
  </si>
  <si>
    <t>Sommation de toutes les économies pour le sous-sol en MJ divisé par 37,89 MJ/m3</t>
  </si>
  <si>
    <t>Autres mesures</t>
  </si>
  <si>
    <t>MJ calculé à partir des MJ de l'onglet autres mesures</t>
  </si>
  <si>
    <t>MJ mesure 1:</t>
  </si>
  <si>
    <t>MJ mesure 2:</t>
  </si>
  <si>
    <t>Économies autres mesures :</t>
  </si>
  <si>
    <t>Sommation de toutes les économies pour les autres mesures en MJ divisé par 37,89 MJ/m3</t>
  </si>
  <si>
    <t>Économies admissibles autres mesures :</t>
  </si>
  <si>
    <t>Économies totales :</t>
  </si>
  <si>
    <t>Sommation de toutes les économies en MJ divisé par 37,89 MJ/m3</t>
  </si>
  <si>
    <t>FS région :</t>
  </si>
  <si>
    <t>Facteur multiplicatif pour la région (onglet contrôle)</t>
  </si>
  <si>
    <t>FS type de bâtiment :</t>
  </si>
  <si>
    <t>Facteur multiplicatif pour le bâtiment (onglet contrôle)</t>
  </si>
  <si>
    <t>Efficacité de l'appareil :</t>
  </si>
  <si>
    <t>Efficacité de l'appareil valeur par défaut de 95%</t>
  </si>
  <si>
    <t>Pourcentage de chauffage au gaz naturel:</t>
  </si>
  <si>
    <t>Économies admissibles :</t>
  </si>
  <si>
    <t>Économie admissible selon les facteurs de région ainsi que l'efficacité de l'appareil de chauffage</t>
  </si>
  <si>
    <t>Pourcentage d'économies :</t>
  </si>
  <si>
    <t>Parameter</t>
  </si>
  <si>
    <t>Choice</t>
  </si>
  <si>
    <t>Scoring for control</t>
  </si>
  <si>
    <t>Region*</t>
  </si>
  <si>
    <t xml:space="preserve">Correction factor </t>
  </si>
  <si>
    <t>Type of building **</t>
  </si>
  <si>
    <t>Correction factor</t>
  </si>
  <si>
    <t>Évaluation case Formulaire PE233/h44</t>
  </si>
  <si>
    <t>Heating system</t>
  </si>
  <si>
    <t>Status of file</t>
  </si>
  <si>
    <t>Évaluation case Formulaire PE233/G74 - G76 - G77</t>
  </si>
  <si>
    <t>Roof</t>
  </si>
  <si>
    <t>Choice of windows</t>
  </si>
  <si>
    <t>Conversion</t>
  </si>
  <si>
    <t>Unit</t>
  </si>
  <si>
    <t>Choice of 
variable</t>
  </si>
  <si>
    <t>Choice of measure</t>
  </si>
  <si>
    <t>% eligible costs (surcharges)</t>
  </si>
  <si>
    <t>% max assistance for surcharges</t>
  </si>
  <si>
    <t>Opening</t>
  </si>
  <si>
    <t>Abitibi</t>
  </si>
  <si>
    <t>Office buildings</t>
  </si>
  <si>
    <t>Boiler</t>
  </si>
  <si>
    <t>Evaluation</t>
  </si>
  <si>
    <t>Yes</t>
  </si>
  <si>
    <t>Roof with attic</t>
  </si>
  <si>
    <t>m²</t>
  </si>
  <si>
    <t>U</t>
  </si>
  <si>
    <t>1/RSI</t>
  </si>
  <si>
    <t>(W/m²∙K)</t>
  </si>
  <si>
    <t>RSI</t>
  </si>
  <si>
    <t>R / 5.678263</t>
  </si>
  <si>
    <t>(m²∙K/W)</t>
  </si>
  <si>
    <t>Fixed</t>
  </si>
  <si>
    <t>Estrie</t>
  </si>
  <si>
    <t>Dwellings/lodgings (apartments, condos, hotels, etc.)</t>
  </si>
  <si>
    <t>Hot air generator (furnace)</t>
  </si>
  <si>
    <t>Awaiting document</t>
  </si>
  <si>
    <t>No</t>
  </si>
  <si>
    <t>Roof with beams and parallel chord trusses</t>
  </si>
  <si>
    <t>1/U</t>
  </si>
  <si>
    <t>RSI * 5.678263</t>
  </si>
  <si>
    <t>(ft²∙h∙°F/Btu)</t>
  </si>
  <si>
    <t>Type of glazing</t>
  </si>
  <si>
    <t>Single</t>
  </si>
  <si>
    <t>Lac-Saint-Jean</t>
  </si>
  <si>
    <t>Warehouses, garages, municipal buildings</t>
  </si>
  <si>
    <t>Roof unit</t>
  </si>
  <si>
    <t>Work under way</t>
  </si>
  <si>
    <t>Flat roof with concrete slab or steel planks</t>
  </si>
  <si>
    <t>Double</t>
  </si>
  <si>
    <t>Laurentides</t>
  </si>
  <si>
    <t>Commercial buildings (restaurant, shop, service company, etc.)</t>
  </si>
  <si>
    <t>Other</t>
  </si>
  <si>
    <t>Deferred</t>
  </si>
  <si>
    <t>Triple</t>
  </si>
  <si>
    <t>Montérégie</t>
  </si>
  <si>
    <t>Institutional buildings (school, hospital, etc.)</t>
  </si>
  <si>
    <t>Cancelled</t>
  </si>
  <si>
    <t>Type of frame</t>
  </si>
  <si>
    <t>Aluminum without thermal break</t>
  </si>
  <si>
    <t>Montréal</t>
  </si>
  <si>
    <t>Industries</t>
  </si>
  <si>
    <t>Paid</t>
  </si>
  <si>
    <t>Aluminum with thermal break</t>
  </si>
  <si>
    <t>Québec</t>
  </si>
  <si>
    <t>Wood / Vinyl</t>
  </si>
  <si>
    <t>Saguenay</t>
  </si>
  <si>
    <t>None</t>
  </si>
  <si>
    <t>Trois-Rivières</t>
  </si>
  <si>
    <t>6.4 mm (1/4 in)</t>
  </si>
  <si>
    <t>12.7 mm (1/2 in)</t>
  </si>
  <si>
    <t xml:space="preserve">Inert gas(e.g. argon) </t>
  </si>
  <si>
    <t>Low emissivity (Low-e)</t>
  </si>
  <si>
    <t>* DePani, Sébastien. Rapport: Méthode pour le calcul des économies pour les travaux de rénovation sur l'enveloppe du bâtiment. GES Technologies inc., Montréal, 2010, p. 27</t>
  </si>
  <si>
    <t>** DePani, Sébastien. Addendum: Barème de corrections en raison des faibles gains internes pour chaque catégorie de bâtiments. Systèmes Énergie TST inc., Ste-Thérèse, Septembre 2011, p. 4</t>
  </si>
  <si>
    <t>2009 ASHRAE Handbook - Table 4 U-Factor for Various Fenestration Products in Btu/h x ft2 x *F</t>
  </si>
  <si>
    <t>Vertical Installation</t>
  </si>
  <si>
    <t>Product Type</t>
  </si>
  <si>
    <t>Glass Only</t>
  </si>
  <si>
    <t>Operable (including sliding and swiging glass doors)</t>
  </si>
  <si>
    <t>Frame Type</t>
  </si>
  <si>
    <t>Center of Glass</t>
  </si>
  <si>
    <t>Edge of Glass</t>
  </si>
  <si>
    <t>Aluminium Without Thermal Break</t>
  </si>
  <si>
    <t>Aluminium With Thermal Break</t>
  </si>
  <si>
    <t>Reinforced Vinyl/  Aluminium Clad Wood</t>
  </si>
  <si>
    <t>Wood/  Vinyl</t>
  </si>
  <si>
    <t>Insulated Fiberglass/Vinyl</t>
  </si>
  <si>
    <t>ID</t>
  </si>
  <si>
    <t>Glazing Type</t>
  </si>
  <si>
    <t>Single Glazing</t>
  </si>
  <si>
    <t>1/8 in. glass</t>
  </si>
  <si>
    <t>1/4 in. acrylic/polycarbonate</t>
  </si>
  <si>
    <t>1/8 in acrylic/polycarbonate</t>
  </si>
  <si>
    <t>Double Glazing</t>
  </si>
  <si>
    <t>1/4 in. air space</t>
  </si>
  <si>
    <t>1/2 in. air space</t>
  </si>
  <si>
    <t>1/4 in. argon space</t>
  </si>
  <si>
    <t>1/2 in. argon space</t>
  </si>
  <si>
    <t>Double Glazing, e=0,60 on surface 2 or 3</t>
  </si>
  <si>
    <t>Double Glazing, e=0,40 on surface 2 or 3</t>
  </si>
  <si>
    <t>Double Glazing, e=0,20 on surface 2 or 3</t>
  </si>
  <si>
    <t>Double Glazing, e=0,10 on surface 2 or 3</t>
  </si>
  <si>
    <t>Double Glazing, e=0,05 on surface 2 or 3</t>
  </si>
  <si>
    <t>Triple Glazing</t>
  </si>
  <si>
    <t>Triple Glazing, e=0,20 on surfaces 2,3, 4 or 5</t>
  </si>
  <si>
    <t>Triple Glazing, e=0,20 on surfaces 2 or 3 and 4 or 5</t>
  </si>
  <si>
    <t>Triple Glazing, e=0,10 on surfaces 2 or 3 and 4 or 5</t>
  </si>
  <si>
    <t>* Les lignes 44-48 n'ont pas été incluses puisqu'il n'y a pas de fenestration quadruple dans le programme de rénovation écoénergétique.</t>
  </si>
  <si>
    <t>ID***</t>
  </si>
  <si>
    <t>Inert gas</t>
  </si>
  <si>
    <t>Low emissivity</t>
  </si>
  <si>
    <t>Coefficient U *</t>
  </si>
  <si>
    <t>Coefficient R **</t>
  </si>
  <si>
    <t>* Coefficient U calculated from Tab Table 4 ASHRAE.  Low emissivity (e) takes the value of = 0.1.  As per EEP (Energy Efficiency Plan), modified 18/02/2019</t>
  </si>
  <si>
    <t>** Coefficient R calculated 1/U</t>
  </si>
  <si>
    <t>*** ID based on table under Control tab, which gives a score for each element of a window.</t>
  </si>
  <si>
    <t>* Le calculateur utilise en priorité le R inscrit manuellement pour effectuer les calculs et s'il est égale à 0, il prend les caractéristiques des fenêtres</t>
  </si>
  <si>
    <t>Tableau des paramètres minimums</t>
  </si>
  <si>
    <t>Niveau</t>
  </si>
  <si>
    <t>Conversion RSI@R</t>
  </si>
  <si>
    <t>Facteur R inscrit par le client ou le facteur R déterminer selon le ID du tableau droite selon la description des fenêtres si le client n'a pas insérer de valeur pour le facteur R</t>
  </si>
  <si>
    <t>Modèle de référence CMNÉB 1997</t>
  </si>
  <si>
    <t>R*</t>
  </si>
  <si>
    <t>NIVEAU</t>
  </si>
  <si>
    <t>Minimum admissible pour la subvention</t>
  </si>
  <si>
    <t>Règle pour formulaire</t>
  </si>
  <si>
    <t>Tableau des résultats</t>
  </si>
  <si>
    <t>Tableau des intrants du formulaire</t>
  </si>
  <si>
    <t>Tableau d'estimation du facteur</t>
  </si>
  <si>
    <t>Modèle</t>
  </si>
  <si>
    <t>Facteur R sélectionné</t>
  </si>
  <si>
    <t>MJ/m2</t>
  </si>
  <si>
    <t>Choix facteur</t>
  </si>
  <si>
    <t>Facteur entrée manuellement</t>
  </si>
  <si>
    <t>Facteur estimé selon choix</t>
  </si>
  <si>
    <t>Facteur conservé</t>
  </si>
  <si>
    <t>Unité surface</t>
  </si>
  <si>
    <t>Type de vitrage</t>
  </si>
  <si>
    <t>Type de fenêtre</t>
  </si>
  <si>
    <t>Type de cadrage</t>
  </si>
  <si>
    <t>Gaz inerte (ex: Argon)</t>
  </si>
  <si>
    <t>Faible émissivité (Low-e)</t>
  </si>
  <si>
    <t>R estimé</t>
  </si>
  <si>
    <t>RSI estimé</t>
  </si>
  <si>
    <t>U estimé</t>
  </si>
  <si>
    <t>Pointage Total</t>
  </si>
  <si>
    <t>Pointage vitrage</t>
  </si>
  <si>
    <t>Pointage fenêtre</t>
  </si>
  <si>
    <t>Pointage cadrage</t>
  </si>
  <si>
    <t>Pointage Interstice</t>
  </si>
  <si>
    <t>Pointage Gaz inerte</t>
  </si>
  <si>
    <t>Pointage Faible émissivité</t>
  </si>
  <si>
    <t>Total</t>
  </si>
  <si>
    <t>Permet de déterminer ID de la fenêtre selon ce que le client sélectionne dans l'onglet formulaire PE233</t>
  </si>
  <si>
    <t>Le ID permet de déterminer le facteur R avant et après qui est inscrit par la suite dans le tableau de gauche</t>
  </si>
  <si>
    <t>Le niveau est déterminé selon le tableau à gauche selon le facteur R, par la suite avec le niveau il est possible de déterminer MJ/m2 en effectuant une recheche verticaledans le tableau de l'onglet MJ par m2 fenêtre</t>
  </si>
  <si>
    <t>Tableau équivalent global</t>
  </si>
  <si>
    <t>MJ/m2 équivalent</t>
  </si>
  <si>
    <t>Facteur-R Équivalent</t>
  </si>
  <si>
    <t>La courbe des MJ/m2 en fonction du niveau n'est pas linéaire. Afin d'approximer un Facteur - R équivalent, le chemin inverse est effectué. Le Facteur ne peut être inférieur au plus petit R Admissible</t>
  </si>
  <si>
    <t>* Si l'utilisateur inscrit un niveau R &lt; 0,8, le niveau 1 est attribué par défaut.</t>
  </si>
  <si>
    <t>DePani, Sébastien. Rapport: Méthode pour le calcul des économies pour les travaux de rénovation sur l'enveloppe du bâtiment. GES Technologies inc., Montréal, 2010, p. 11</t>
  </si>
  <si>
    <t>Niveau 1 @</t>
  </si>
  <si>
    <t>MJ/m²</t>
  </si>
  <si>
    <t>Niveau 2 @</t>
  </si>
  <si>
    <t>Niveau 3 @</t>
  </si>
  <si>
    <t>Niveau 4 @</t>
  </si>
  <si>
    <t>Niveau 5 @</t>
  </si>
  <si>
    <t>Niveau 6 @</t>
  </si>
  <si>
    <t>Niveau 7 @</t>
  </si>
  <si>
    <t>Niveau 8 @</t>
  </si>
  <si>
    <t>Niveau 9 @</t>
  </si>
  <si>
    <t>Niveau 10 @</t>
  </si>
  <si>
    <t>Niveau 11 @</t>
  </si>
  <si>
    <t>Niveau 12 @</t>
  </si>
  <si>
    <t>Niveau 13 @</t>
  </si>
  <si>
    <t>Niveau 14 @</t>
  </si>
  <si>
    <t>Niveau 15 @</t>
  </si>
  <si>
    <t>Niveau 16 @</t>
  </si>
  <si>
    <t>Niveau 17 @</t>
  </si>
  <si>
    <t>Niveau 18 @</t>
  </si>
  <si>
    <t>Niveau 19 @</t>
  </si>
  <si>
    <t>Niveau 20 @</t>
  </si>
  <si>
    <t>Niveau 21 @</t>
  </si>
  <si>
    <t>Niveau 22 @</t>
  </si>
  <si>
    <t>Niveau 23 @</t>
  </si>
  <si>
    <t>Niveau 24 @</t>
  </si>
  <si>
    <t>Niveau 25 @</t>
  </si>
  <si>
    <t>Niveau 26 @</t>
  </si>
  <si>
    <t>Niveau 27 @</t>
  </si>
  <si>
    <t>Niveau 28 @</t>
  </si>
  <si>
    <t>Niveau 29 @</t>
  </si>
  <si>
    <t>DePani, Sébastien. Rapport: Méthode pour le calcul des économies pour les travaux de rénovation sur l'enveloppe du bâtiment. GES Technologies inc., Montréal, 2010, p. 13</t>
  </si>
  <si>
    <t>Formule pour calcul du Rendement énergétique (RE)</t>
  </si>
  <si>
    <t>Norme Energy Star</t>
  </si>
  <si>
    <t>1er janvier 2020</t>
  </si>
  <si>
    <t>Coefficients</t>
  </si>
  <si>
    <t>https://www.rncan.gc.ca/efficacite-energetique/nouvelles-energy-star/ressources-pour-les-participants/specifications-techniques/portes-fenetres-et-puits-de-lumiere-specifications-techniques-energy-star-canada/20951</t>
  </si>
  <si>
    <t>B_CGCS</t>
  </si>
  <si>
    <t>B_Uw</t>
  </si>
  <si>
    <t>B_L75</t>
  </si>
  <si>
    <t>B0</t>
  </si>
  <si>
    <t>Fiche Typique</t>
  </si>
  <si>
    <t>Paramètres</t>
  </si>
  <si>
    <t>Critères minimum</t>
  </si>
  <si>
    <t>Condition fenêtres</t>
  </si>
  <si>
    <t xml:space="preserve">RE </t>
  </si>
  <si>
    <t>CGCS*</t>
  </si>
  <si>
    <t>Uw</t>
  </si>
  <si>
    <t>L75</t>
  </si>
  <si>
    <t>B</t>
  </si>
  <si>
    <t>Commentaires</t>
  </si>
  <si>
    <t>Minimum Energy star 1er janvier 2020</t>
  </si>
  <si>
    <t>Différenciation des norme pour les régions A, B et C n'existe plus. C'est les normes de la région C qui prévaut comme minimum pour être Energy Star</t>
  </si>
  <si>
    <t>Minimum CMNÉB 1997 et selon paramètres modélisations rapport GES p. 8</t>
  </si>
  <si>
    <t>Minimum admissible selon subvention 2020</t>
  </si>
  <si>
    <t>*CGCS = SHGC = CARS</t>
  </si>
  <si>
    <t>R factor indicated by customer on Form PE233</t>
  </si>
  <si>
    <t>Table: Minimum value prescribed by NECB</t>
  </si>
  <si>
    <t>LEVEL</t>
  </si>
  <si>
    <t>R Factor</t>
  </si>
  <si>
    <t>Level</t>
  </si>
  <si>
    <t>Surface m²</t>
  </si>
  <si>
    <t>Choice of factor</t>
  </si>
  <si>
    <t xml:space="preserve">Factor on form </t>
  </si>
  <si>
    <t>Type of roof</t>
  </si>
  <si>
    <t>Roof BEFORE</t>
  </si>
  <si>
    <t>Roof AFTER</t>
  </si>
  <si>
    <t>Minimum NECB*</t>
  </si>
  <si>
    <t>R factor - Roof after</t>
  </si>
  <si>
    <t>The minimum value prescribed by NECB is :</t>
  </si>
  <si>
    <t>Eligibility request</t>
  </si>
  <si>
    <t xml:space="preserve"> - Type I (Roof with attic)</t>
  </si>
  <si>
    <t xml:space="preserve"> - Type II (Roof with beams and parallel chord trusses)</t>
  </si>
  <si>
    <t xml:space="preserve"> - Type III (Flat roof with concrete slab or steel planks)</t>
  </si>
  <si>
    <t xml:space="preserve">The level is determined based on the R factor (see table on the left). From the level,  the MJ/m2 can then be determined by conducting a vertical search in the roof Table MJ/m2 .    </t>
  </si>
  <si>
    <t>*If the NECB is not reached, the R factor then stays at zero so as not to calculate energy savings, but in the Report tab, the R factor will be coloured yellow to show that it did not reach the minimum required.</t>
  </si>
  <si>
    <t>* If an R &lt; 5 is indicated, then level 1 is attributed by default.</t>
  </si>
  <si>
    <t>DePani, Sébastien. Rapport: Méthode pour le calcul des économies pour les travaux de rénovation sur l'enveloppe du bâtiment. GES Technologies inc., Montréal, 2010, p. 19</t>
  </si>
  <si>
    <t>DePani, Sébastien. Rapport: Méthode pour le calcul des économies pour les travaux de rénovation sur l'enveloppe du bâtiment. GES Technologies inc., Montréal, 2010, p. 21</t>
  </si>
  <si>
    <t>Facteur R inscrit par le client dans l'onglet Formulaire PE233</t>
  </si>
  <si>
    <t>Tableau Valeur Minimale Prescrite par le CMNÉB 1997</t>
  </si>
  <si>
    <t>Facteur R</t>
  </si>
  <si>
    <t>Choix Facteur</t>
  </si>
  <si>
    <t>Facteur Formulaire</t>
  </si>
  <si>
    <t>Texte à utiliser</t>
  </si>
  <si>
    <t>Murs hors sol AVANT</t>
  </si>
  <si>
    <t>Murs hors sol APRÈS</t>
  </si>
  <si>
    <t>Minimum CMNEB</t>
  </si>
  <si>
    <t>Valeur minimum à inscrire si avant non connu</t>
  </si>
  <si>
    <t>Facteur R - hors sol après</t>
  </si>
  <si>
    <t>Demande admissible</t>
  </si>
  <si>
    <t>Le niveau est déterminé selon le tableau à gauche selon le facteur R, par la suite avec le niveau il est possible de déterminer MJ/m2 en effectuant une recheche vertical dans le tableau de l'onglet MJ par m2 mur hors sol</t>
  </si>
  <si>
    <t>* Si l'utilisateur inscrit un niveau R &lt; 5, le niveau 1 est attribué par défaut.</t>
  </si>
  <si>
    <t>DePani, Sébastien. Rapport: Méthode pour le calcul des économies pour les travaux de rénovation sur l'enveloppe du bâtiment. GES Technologies inc., Montréal, 2010, p. 15</t>
  </si>
  <si>
    <t>DePani, Sébastien. Rapport: Méthode pour le calcul des économies pour les travaux de rénovation sur l'enveloppe du bâtiment. GES Technologies inc., Montréal, 2010, p. 17</t>
  </si>
  <si>
    <t>Murs sous-sol AVANT</t>
  </si>
  <si>
    <t>Murs sous-sol APRÈS</t>
  </si>
  <si>
    <t>Facteur R - sous-sol après</t>
  </si>
  <si>
    <t>Le niveau est déterminé selon le tableau à gauche selon le facteur R, par la suite avec le niveau il est possible de déterminer MJ/m2 en effectuant une recheche dans le tableau de l'onglet MJ par m2 mur sous sol</t>
  </si>
  <si>
    <t>* Si l'utilisateur inscrit un niveau R &lt; 2, le niveau 1 est attribué par défaut.</t>
  </si>
  <si>
    <t>DePani, Sébastien. Rapport: Méthode pour le calcul des économies pour les travaux de rénovation sur l'enveloppe du bâtiment. GES Technologies inc., Montréal, 2010, p. 23</t>
  </si>
  <si>
    <t>DePani, Sébastien. Rapport: Méthode pour le calcul des économies pour les travaux de rénovation sur l'enveloppe du bâtiment. GES Technologies inc., Montréal, 2010, p. 25</t>
  </si>
  <si>
    <t>Économies normalisées*</t>
  </si>
  <si>
    <t>Crédit</t>
  </si>
  <si>
    <t>Remplacement de portes pour occupants non étanches par de nouvelles portes performantes</t>
  </si>
  <si>
    <t>MJ/porte</t>
  </si>
  <si>
    <t>MJ/vestivule</t>
  </si>
  <si>
    <t>Ajout d’un vestibule (pour l’entrée pour occupants)</t>
  </si>
  <si>
    <t>Ajout de rideaux ou portes supplémentaires entre l’intérieur et l’extérieur pour réduire les mouvements d’air( portes industrielles )</t>
  </si>
  <si>
    <t>* DePani, Sébastien. Rapport: Méthode pour le calcul des économies pour les travaux de rénovation sur l'enveloppe du bâtiment. GES Technologies inc., Montréal, 2010, p. 26</t>
  </si>
  <si>
    <t>Économies admissibles (MJ/porte)</t>
  </si>
  <si>
    <t>Nombre</t>
  </si>
  <si>
    <t>Économies totales (MJ)</t>
  </si>
  <si>
    <t>mesure 1</t>
  </si>
  <si>
    <t>mesure 2</t>
  </si>
  <si>
    <t>Les mesures son calculés à partir des informations que le client choisi dans l'ongle Formulaire PE233 et selon la quantitié</t>
  </si>
  <si>
    <t>Anciens noms utilisés</t>
  </si>
  <si>
    <t>Amélioration des portes pour occupants</t>
  </si>
  <si>
    <t>Amélioration de portes industrielles</t>
  </si>
  <si>
    <t>Ajout d'un vestibule (pour l'entrée pour occupants)</t>
  </si>
  <si>
    <t>Ajout de rideaux ou portes industrielles supplémentaires</t>
  </si>
  <si>
    <t>Sous-mesure</t>
  </si>
  <si>
    <t>Unité</t>
  </si>
  <si>
    <t>1. Correction d’un manque d’étanchéité pour les portes existantes pour occupants (calfeutrage, coupe-froids, réparations mineures)</t>
  </si>
  <si>
    <t>Unitaire</t>
  </si>
  <si>
    <t>2. Remplacement de portes pour occupants non étanches par de nouvelles portes performantes</t>
  </si>
  <si>
    <t>3. Installation d’un vestibule pour l’entrée pour occupants</t>
  </si>
  <si>
    <t>MJ / vestibule</t>
  </si>
  <si>
    <t>4. Correction d’un manque d’étanchéité pour des portes industrielles (calfeutrage, coupe-froids, réparations mineures)</t>
  </si>
  <si>
    <t>5. Remplacement de portes industrielles non étanches par de nouvelles portes performantes</t>
  </si>
  <si>
    <t>6. Installation d’un système automatique pour l’opération des portes industrielles</t>
  </si>
  <si>
    <t>7. Installation de rideaux ou portes supplémentaires entre l’intérieur et l’extérieur pour réduire les mouvements d’air pour les portes industrielles</t>
  </si>
  <si>
    <t>8. Correction d’un manque d’étanchéité pour les fenêtres existantes (calfeutrage, coupe-froids, réparations mineures)</t>
  </si>
  <si>
    <t>Mètre carré</t>
  </si>
  <si>
    <t>MJ / m2</t>
  </si>
  <si>
    <t>9. Remplacement de fenêtres non étanches par de nouvelles fenêtres performantes</t>
  </si>
  <si>
    <t>10. Correction d’un manque d’étanchéité de l’enveloppe thermique (lisse d’assise, appui de fenêtres et autres joints)</t>
  </si>
  <si>
    <t>Mètre linéaire de travaux</t>
  </si>
  <si>
    <t>Please specify the % of the building's surface area heated by electricity.</t>
  </si>
  <si>
    <t>Économies de gaz naturel fenêtre :</t>
  </si>
  <si>
    <t>Économies de gaz naturel admissibles fenêtre :</t>
  </si>
  <si>
    <t>Économies de gaz naturel toit :</t>
  </si>
  <si>
    <t>Économies de gaz naturel admissibles toit :</t>
  </si>
  <si>
    <t>Économies de gaz naturel mur sous-sol :</t>
  </si>
  <si>
    <t>Économies de gaz naturel admissibles mur sous-sol :</t>
  </si>
  <si>
    <t>Économies de gaz naturel murs hors sol :</t>
  </si>
  <si>
    <t>Économies de gaz naturel admissibles murs hors sol :</t>
  </si>
  <si>
    <t>Calcul d'économie de gaz naturel</t>
  </si>
  <si>
    <t>Calcul d'économie d'électricité</t>
  </si>
  <si>
    <t>kWh</t>
  </si>
  <si>
    <t>Pourcentage de chauffage à l'électricité:</t>
  </si>
  <si>
    <t>Sommation de toutes les économies en MJ divisé par 3,60 MJ/kWh</t>
  </si>
  <si>
    <t>Économies d'électricité fenêtre :</t>
  </si>
  <si>
    <t>Économies d'électricité admissibles fenêtre :</t>
  </si>
  <si>
    <t>Sommation de toutes les économies pour les fenêtres en MJ divisé par 3,60 MJ/kWh</t>
  </si>
  <si>
    <t>Économies d'électricité toit :</t>
  </si>
  <si>
    <t>Sommation de toutes les économies pour le toit en MJ divisé par 3,60 MJ/kWh</t>
  </si>
  <si>
    <t>Économies d'électricité murs hors sol :</t>
  </si>
  <si>
    <t>Économies d'électricité admissibles murs hors sol :</t>
  </si>
  <si>
    <t>Sommation de toutes les économies pour le hors sol en MJ divisé par 3,60 MJ/m3</t>
  </si>
  <si>
    <t>Économies d'électricité mur sous-sol :</t>
  </si>
  <si>
    <t>Économies d'électricité admissibles mur sous-sol :</t>
  </si>
  <si>
    <t>Sommation de toutes les économies pour le sous-sol en MJ divisé par 3,60 MJ/m3</t>
  </si>
  <si>
    <t>Year of construction of the building:</t>
  </si>
  <si>
    <t>Is there air conditioning in the section of the building concerned by the renovation project?</t>
  </si>
  <si>
    <t>Choix</t>
  </si>
  <si>
    <t>Évaluation case Formulaire PE233/F79</t>
  </si>
  <si>
    <t>Please indicate the year of the last renovation of the roof:</t>
  </si>
  <si>
    <t>3,45 était la valeur minimale utilisée avant septembre 2023, lorsque la valeur avant rénovation été inconnue. À partir de septembre 2023, le tableau ci-dessous (REENB 1983) est utilisé.</t>
  </si>
  <si>
    <t>Tableau Valeur Minimale Prescrite par le REENB 1983 (Règlement sur l’économie de l’énergie dans les 
nouveaux bâtiments E-1.1,r1, de 1983)</t>
  </si>
  <si>
    <t>Type de toit</t>
  </si>
  <si>
    <t>3 était la valeur minimale utilisée avant septembre 2023, lorsque la valeur avant rénovation été inconnue. À partir de septembre 2023, le tableau ci-dessous (REENB 1983) est utilisé.</t>
  </si>
  <si>
    <t>2,40 était la valeur minimale utilisée avant septembre 2023, lorsque la valeur avant rénovation été inconnue. À partir de septembre 2023, le tableau ci-dessous (REENB 1983) est utilisé.</t>
  </si>
  <si>
    <r>
      <t xml:space="preserve">The value </t>
    </r>
    <r>
      <rPr>
        <b/>
        <sz val="10"/>
        <color theme="1"/>
        <rFont val="Arial"/>
        <family val="2"/>
      </rPr>
      <t>BEFORE</t>
    </r>
    <r>
      <rPr>
        <sz val="10"/>
        <color theme="1"/>
        <rFont val="Arial"/>
        <family val="2"/>
      </rPr>
      <t xml:space="preserve"> renovation is set by default:</t>
    </r>
  </si>
  <si>
    <t>Commentaire pour Datech:</t>
  </si>
  <si>
    <t>Please indicate the year of the last renovation of the above-ground walls:</t>
  </si>
  <si>
    <r>
      <rPr>
        <b/>
        <sz val="10"/>
        <color theme="1"/>
        <rFont val="Arial"/>
        <family val="2"/>
      </rPr>
      <t>AFTER</t>
    </r>
    <r>
      <rPr>
        <sz val="10"/>
        <color theme="1"/>
        <rFont val="Arial"/>
        <family val="2"/>
      </rPr>
      <t xml:space="preserve"> renovation**</t>
    </r>
  </si>
  <si>
    <t>Please indicate the year of the last renovation of the below-ground walls:</t>
  </si>
  <si>
    <r>
      <rPr>
        <b/>
        <sz val="10"/>
        <color theme="1"/>
        <rFont val="Arial"/>
        <family val="2"/>
      </rPr>
      <t>AFTER</t>
    </r>
    <r>
      <rPr>
        <sz val="10"/>
        <color theme="1"/>
        <rFont val="Arial"/>
        <family val="2"/>
      </rPr>
      <t xml:space="preserve"> renovation**:</t>
    </r>
  </si>
  <si>
    <t>Économies d'électricité admissibles toit :</t>
  </si>
  <si>
    <t>** The minimum eligible values are presented at the lines 67-70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</si>
</sst>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 * #,##0.00_)\ &quot;$&quot;_ ;_ * \(#,##0.00\)\ &quot;$&quot;_ ;_ * &quot;-&quot;??_)\ &quot;$&quot;_ ;_ @_ "/>
    <numFmt numFmtId="164" formatCode="_ * #,##0.00_)\ _$_ ;_ * \(#,##0.00\)\ _$_ ;_ * &quot;-&quot;??_)\ _$_ ;_ @_ "/>
    <numFmt numFmtId="165" formatCode="0.0"/>
    <numFmt numFmtId="166" formatCode="_ * #,##0_)\ &quot;$&quot;_ ;_ * \(#,##0\)\ &quot;$&quot;_ ;_ * &quot;-&quot;??_)\ &quot;$&quot;_ ;_ @_ "/>
    <numFmt numFmtId="167" formatCode="0.0%"/>
    <numFmt numFmtId="168" formatCode="yyyy/mm/dd;@"/>
    <numFmt numFmtId="169" formatCode="#0000&quot; &quot;####&quot; &quot;###"/>
    <numFmt numFmtId="170" formatCode="##&quot; $/m²&quot;"/>
    <numFmt numFmtId="171" formatCode="0.0000"/>
    <numFmt numFmtId="172" formatCode="0.000000"/>
    <numFmt numFmtId="173" formatCode="#,##0.00000"/>
    <numFmt numFmtId="174" formatCode="_ * #,##0.000_)\ &quot;$&quot;_ ;_ * \(#,##0.000\)\ &quot;$&quot;_ ;_ * &quot;-&quot;??_)\ &quot;$&quot;_ ;_ @_ "/>
    <numFmt numFmtId="175" formatCode="_ * #,##0.0_)\ _$_ ;_ * \(#,##0.0\)\ _$_ ;_ * &quot;-&quot;??_)\ _$_ ;_ @_ "/>
    <numFmt numFmtId="176" formatCode="_-[$$-1009]* #,##0.00_-;\-[$$-1009]* #,##0.00_-;_-[$$-1009]* &quot;-&quot;??_-;_-@_-"/>
    <numFmt numFmtId="177" formatCode="[$$-1009]#,##0;\-[$$-1009]#,##0"/>
    <numFmt numFmtId="178" formatCode="&quot;$&quot;##&quot; /m²&quot;"/>
    <numFmt numFmtId="179" formatCode="dd/mm/yyyy"/>
  </numFmts>
  <fonts count="76" x14ac:knownFonts="1">
    <font>
      <sz val="11"/>
      <color theme="1"/>
      <name val="Arial"/>
      <family val="2"/>
      <scheme val="minor"/>
    </font>
    <font>
      <b/>
      <i/>
      <sz val="13"/>
      <color rgb="FF0082B4"/>
      <name val="Arial"/>
      <family val="2"/>
      <scheme val="minor"/>
    </font>
    <font>
      <sz val="10"/>
      <color theme="1"/>
      <name val="Arial"/>
      <family val="2"/>
      <scheme val="minor"/>
    </font>
    <font>
      <b/>
      <sz val="11"/>
      <color theme="1"/>
      <name val="Arial"/>
      <family val="2"/>
      <scheme val="minor"/>
    </font>
    <font>
      <b/>
      <sz val="14"/>
      <color theme="1"/>
      <name val="Arial"/>
      <family val="2"/>
      <scheme val="minor"/>
    </font>
    <font>
      <sz val="14"/>
      <color theme="1"/>
      <name val="Arial"/>
      <family val="2"/>
      <scheme val="minor"/>
    </font>
    <font>
      <b/>
      <sz val="12"/>
      <color theme="1"/>
      <name val="Arial"/>
      <family val="2"/>
      <scheme val="minor"/>
    </font>
    <font>
      <b/>
      <sz val="8"/>
      <color theme="1"/>
      <name val="Arial"/>
      <family val="2"/>
      <scheme val="minor"/>
    </font>
    <font>
      <b/>
      <sz val="10"/>
      <color theme="1"/>
      <name val="Arial"/>
      <family val="2"/>
      <scheme val="minor"/>
    </font>
    <font>
      <sz val="11"/>
      <color theme="1"/>
      <name val="Arial"/>
      <family val="2"/>
      <scheme val="minor"/>
    </font>
    <font>
      <b/>
      <sz val="11"/>
      <color theme="0"/>
      <name val="Arial"/>
      <family val="2"/>
      <scheme val="minor"/>
    </font>
    <font>
      <sz val="11"/>
      <name val="Arial"/>
      <family val="2"/>
      <scheme val="minor"/>
    </font>
    <font>
      <b/>
      <u/>
      <sz val="11"/>
      <color theme="1"/>
      <name val="Arial"/>
      <family val="2"/>
      <scheme val="minor"/>
    </font>
    <font>
      <sz val="11"/>
      <color theme="1"/>
      <name val="Arial"/>
      <family val="2"/>
    </font>
    <font>
      <b/>
      <sz val="11"/>
      <color rgb="FF009FDF"/>
      <name val="Arial"/>
      <family val="2"/>
    </font>
    <font>
      <sz val="10"/>
      <color theme="1"/>
      <name val="Arial"/>
      <family val="2"/>
    </font>
    <font>
      <sz val="11"/>
      <color rgb="FF002F5F"/>
      <name val="Arial"/>
      <family val="2"/>
    </font>
    <font>
      <b/>
      <sz val="10"/>
      <color rgb="FF002F5F"/>
      <name val="Arial"/>
      <family val="2"/>
    </font>
    <font>
      <b/>
      <sz val="16"/>
      <color rgb="FF002F5F"/>
      <name val="Arial"/>
      <family val="2"/>
    </font>
    <font>
      <b/>
      <sz val="14"/>
      <color rgb="FF002F5F"/>
      <name val="Arial"/>
      <family val="2"/>
    </font>
    <font>
      <sz val="9"/>
      <color rgb="FF002F5F"/>
      <name val="Arial"/>
      <family val="2"/>
    </font>
    <font>
      <sz val="10"/>
      <color rgb="FF002F5F"/>
      <name val="Arial"/>
      <family val="2"/>
    </font>
    <font>
      <b/>
      <sz val="10"/>
      <color rgb="FF009FDF"/>
      <name val="Arial"/>
      <family val="2"/>
    </font>
    <font>
      <b/>
      <i/>
      <sz val="8"/>
      <color rgb="FF002F5F"/>
      <name val="Arial"/>
      <family val="2"/>
    </font>
    <font>
      <b/>
      <sz val="12"/>
      <name val="Arial"/>
      <family val="2"/>
    </font>
    <font>
      <b/>
      <sz val="12"/>
      <color indexed="62"/>
      <name val="Arial"/>
      <family val="2"/>
    </font>
    <font>
      <sz val="12"/>
      <color rgb="FF002F5F"/>
      <name val="Arial"/>
      <family val="2"/>
    </font>
    <font>
      <b/>
      <sz val="10"/>
      <color theme="1"/>
      <name val="Arial"/>
      <family val="2"/>
    </font>
    <font>
      <b/>
      <u/>
      <sz val="10"/>
      <color rgb="FF002F5F"/>
      <name val="Arial"/>
      <family val="2"/>
    </font>
    <font>
      <b/>
      <sz val="12"/>
      <color theme="0"/>
      <name val="Arial"/>
      <family val="2"/>
    </font>
    <font>
      <sz val="8"/>
      <color rgb="FF002F5F"/>
      <name val="Arial"/>
      <family val="2"/>
    </font>
    <font>
      <b/>
      <sz val="11"/>
      <name val="Arial"/>
      <family val="2"/>
      <scheme val="minor"/>
    </font>
    <font>
      <sz val="8"/>
      <name val="Arial"/>
      <family val="2"/>
    </font>
    <font>
      <vertAlign val="superscript"/>
      <sz val="10"/>
      <color rgb="FF002F5F"/>
      <name val="Arial"/>
      <family val="2"/>
    </font>
    <font>
      <sz val="11"/>
      <color rgb="FFFF0000"/>
      <name val="Arial"/>
      <family val="2"/>
      <scheme val="minor"/>
    </font>
    <font>
      <b/>
      <sz val="12"/>
      <color rgb="FF002F5F"/>
      <name val="Arial"/>
      <family val="2"/>
    </font>
    <font>
      <sz val="6"/>
      <color rgb="FF002F5F"/>
      <name val="Arial"/>
      <family val="2"/>
    </font>
    <font>
      <sz val="10"/>
      <color rgb="FF95D8F5"/>
      <name val="Arial"/>
      <family val="2"/>
    </font>
    <font>
      <sz val="9"/>
      <color indexed="81"/>
      <name val="Tahoma"/>
      <family val="2"/>
    </font>
    <font>
      <b/>
      <sz val="9"/>
      <color indexed="81"/>
      <name val="Tahoma"/>
      <family val="2"/>
    </font>
    <font>
      <sz val="10"/>
      <color rgb="FF002855"/>
      <name val="Arial"/>
      <family val="2"/>
    </font>
    <font>
      <u/>
      <sz val="11"/>
      <color theme="10"/>
      <name val="Arial"/>
      <family val="2"/>
      <scheme val="minor"/>
    </font>
    <font>
      <sz val="8"/>
      <name val="Arial"/>
      <family val="2"/>
      <scheme val="minor"/>
    </font>
    <font>
      <b/>
      <u/>
      <sz val="14"/>
      <color theme="1"/>
      <name val="Arial"/>
      <family val="2"/>
      <scheme val="minor"/>
    </font>
    <font>
      <sz val="11"/>
      <name val="Arial"/>
      <family val="2"/>
    </font>
    <font>
      <b/>
      <sz val="16"/>
      <color theme="1"/>
      <name val="Arial"/>
      <family val="2"/>
    </font>
    <font>
      <b/>
      <sz val="10"/>
      <name val="Arial"/>
      <family val="2"/>
    </font>
    <font>
      <b/>
      <sz val="10"/>
      <color rgb="FFFFFFFF"/>
      <name val="Arial"/>
      <family val="2"/>
    </font>
    <font>
      <b/>
      <sz val="10"/>
      <color rgb="FFFF0000"/>
      <name val="Arial"/>
      <family val="2"/>
    </font>
    <font>
      <sz val="10"/>
      <name val="Arial"/>
      <family val="2"/>
    </font>
    <font>
      <b/>
      <sz val="10"/>
      <color rgb="FF002D5B"/>
      <name val="Arial"/>
      <family val="2"/>
    </font>
    <font>
      <sz val="10"/>
      <color theme="1"/>
      <name val="Courier New"/>
      <family val="3"/>
    </font>
    <font>
      <sz val="10"/>
      <color rgb="FFFFFFFF"/>
      <name val="Arial"/>
      <family val="2"/>
    </font>
    <font>
      <b/>
      <sz val="11"/>
      <color theme="4"/>
      <name val="Arial"/>
      <family val="2"/>
      <scheme val="minor"/>
    </font>
    <font>
      <u/>
      <sz val="10"/>
      <color rgb="FF002F5F"/>
      <name val="Arial"/>
      <family val="2"/>
    </font>
    <font>
      <sz val="10"/>
      <color rgb="FFFF0000"/>
      <name val="Arial"/>
      <family val="2"/>
    </font>
    <font>
      <b/>
      <sz val="12"/>
      <color theme="1"/>
      <name val="Arial"/>
      <family val="2"/>
    </font>
    <font>
      <b/>
      <sz val="12"/>
      <color theme="4"/>
      <name val="Arial"/>
      <family val="2"/>
    </font>
    <font>
      <b/>
      <sz val="8"/>
      <color rgb="FF002F5F"/>
      <name val="Arial"/>
      <family val="2"/>
    </font>
    <font>
      <b/>
      <sz val="10"/>
      <color theme="0"/>
      <name val="Arial"/>
      <family val="2"/>
    </font>
    <font>
      <sz val="8"/>
      <color theme="1"/>
      <name val="Arial"/>
      <family val="2"/>
    </font>
    <font>
      <sz val="8"/>
      <color theme="1"/>
      <name val="Arial"/>
      <family val="2"/>
      <scheme val="minor"/>
    </font>
    <font>
      <i/>
      <sz val="11"/>
      <color theme="1"/>
      <name val="Arial"/>
      <family val="2"/>
      <scheme val="minor"/>
    </font>
    <font>
      <i/>
      <sz val="14"/>
      <color theme="1"/>
      <name val="Arial"/>
      <family val="2"/>
      <scheme val="minor"/>
    </font>
    <font>
      <b/>
      <vertAlign val="superscript"/>
      <sz val="10"/>
      <color rgb="FF002F5F"/>
      <name val="Arial"/>
      <family val="2"/>
    </font>
    <font>
      <b/>
      <sz val="8"/>
      <color theme="1"/>
      <name val="Arial"/>
      <family val="2"/>
    </font>
    <font>
      <sz val="6"/>
      <color theme="1"/>
      <name val="Arial"/>
      <family val="2"/>
    </font>
    <font>
      <sz val="11"/>
      <color rgb="FF002060"/>
      <name val="Arial"/>
      <family val="2"/>
      <scheme val="minor"/>
    </font>
    <font>
      <b/>
      <sz val="11"/>
      <color rgb="FF002060"/>
      <name val="Arial"/>
      <family val="2"/>
      <scheme val="minor"/>
    </font>
    <font>
      <b/>
      <sz val="8"/>
      <color rgb="FFFF0000"/>
      <name val="Arial"/>
      <family val="2"/>
    </font>
    <font>
      <sz val="8"/>
      <color rgb="FFFF0000"/>
      <name val="Arial"/>
      <family val="2"/>
    </font>
    <font>
      <b/>
      <u/>
      <sz val="11"/>
      <color rgb="FF002060"/>
      <name val="Arial"/>
      <family val="2"/>
      <scheme val="minor"/>
    </font>
    <font>
      <sz val="10"/>
      <color rgb="FF002060"/>
      <name val="Arial"/>
      <family val="2"/>
    </font>
    <font>
      <b/>
      <sz val="8"/>
      <color rgb="FF002060"/>
      <name val="Arial"/>
      <family val="2"/>
    </font>
    <font>
      <sz val="8"/>
      <color rgb="FF002060"/>
      <name val="Arial"/>
      <family val="2"/>
    </font>
    <font>
      <sz val="11"/>
      <color rgb="FF002060"/>
      <name val="Arial"/>
      <family val="2"/>
    </font>
  </fonts>
  <fills count="14">
    <fill>
      <patternFill patternType="none"/>
    </fill>
    <fill>
      <patternFill patternType="gray125"/>
    </fill>
    <fill>
      <patternFill patternType="solid">
        <fgColor rgb="FF002F5F"/>
        <bgColor indexed="64"/>
      </patternFill>
    </fill>
    <fill>
      <patternFill patternType="solid">
        <fgColor rgb="FF95D5F5"/>
        <bgColor indexed="64"/>
      </patternFill>
    </fill>
    <fill>
      <patternFill patternType="solid">
        <fgColor rgb="FFFFFF00"/>
        <bgColor indexed="64"/>
      </patternFill>
    </fill>
    <fill>
      <patternFill patternType="solid">
        <fgColor rgb="FF00AEEF"/>
      </patternFill>
    </fill>
    <fill>
      <patternFill patternType="solid">
        <fgColor rgb="FF002855"/>
        <bgColor rgb="FF000000"/>
      </patternFill>
    </fill>
    <fill>
      <patternFill patternType="solid">
        <fgColor rgb="FFC0C0C0"/>
        <bgColor rgb="FF000000"/>
      </patternFill>
    </fill>
    <fill>
      <patternFill patternType="solid">
        <fgColor theme="4"/>
        <bgColor theme="4"/>
      </patternFill>
    </fill>
    <fill>
      <patternFill patternType="solid">
        <fgColor rgb="FFD9D9D9"/>
        <bgColor indexed="64"/>
      </patternFill>
    </fill>
    <fill>
      <patternFill patternType="solid">
        <fgColor theme="0"/>
        <bgColor indexed="64"/>
      </patternFill>
    </fill>
    <fill>
      <patternFill patternType="solid">
        <fgColor theme="0" tint="-0.14996795556505021"/>
        <bgColor indexed="64"/>
      </patternFill>
    </fill>
    <fill>
      <patternFill patternType="solid">
        <fgColor rgb="FFC0C0C0"/>
        <bgColor indexed="64"/>
      </patternFill>
    </fill>
    <fill>
      <patternFill patternType="solid">
        <fgColor theme="0" tint="-0.24994659260841701"/>
        <bgColor indexed="64"/>
      </patternFill>
    </fill>
  </fills>
  <borders count="103">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bottom style="medium">
        <color rgb="FF002F5F"/>
      </bottom>
      <diagonal/>
    </border>
    <border>
      <left style="medium">
        <color rgb="FF002F5F"/>
      </left>
      <right/>
      <top style="medium">
        <color rgb="FF002F5F"/>
      </top>
      <bottom/>
      <diagonal/>
    </border>
    <border>
      <left/>
      <right/>
      <top style="medium">
        <color rgb="FF002F5F"/>
      </top>
      <bottom/>
      <diagonal/>
    </border>
    <border>
      <left style="medium">
        <color rgb="FF002F5F"/>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medium">
        <color rgb="FF002F5F"/>
      </bottom>
      <diagonal/>
    </border>
    <border>
      <left/>
      <right style="medium">
        <color indexed="64"/>
      </right>
      <top style="medium">
        <color rgb="FF002F5F"/>
      </top>
      <bottom/>
      <diagonal/>
    </border>
    <border>
      <left/>
      <right style="hair">
        <color indexed="64"/>
      </right>
      <top/>
      <bottom/>
      <diagonal/>
    </border>
    <border>
      <left style="thin">
        <color theme="4" tint="0.39997558519241921"/>
      </left>
      <right/>
      <top style="thin">
        <color theme="4" tint="0.39997558519241921"/>
      </top>
      <bottom style="thin">
        <color theme="4" tint="0.39997558519241921"/>
      </bottom>
      <diagonal/>
    </border>
    <border>
      <left/>
      <right/>
      <top style="thin">
        <color theme="0"/>
      </top>
      <bottom style="thin">
        <color theme="0"/>
      </bottom>
      <diagonal/>
    </border>
    <border>
      <left style="medium">
        <color rgb="FF009FDF"/>
      </left>
      <right style="medium">
        <color rgb="FF009FDF"/>
      </right>
      <top style="medium">
        <color rgb="FF009FDF"/>
      </top>
      <bottom style="medium">
        <color rgb="FF009FDF"/>
      </bottom>
      <diagonal/>
    </border>
    <border>
      <left style="medium">
        <color rgb="FF00B0F0"/>
      </left>
      <right/>
      <top style="medium">
        <color rgb="FF00B0F0"/>
      </top>
      <bottom style="medium">
        <color rgb="FF00B0F0"/>
      </bottom>
      <diagonal/>
    </border>
    <border>
      <left style="medium">
        <color rgb="FF00B0F0"/>
      </left>
      <right style="medium">
        <color rgb="FF00B0F0"/>
      </right>
      <top style="medium">
        <color rgb="FF00B0F0"/>
      </top>
      <bottom style="medium">
        <color rgb="FF00B0F0"/>
      </bottom>
      <diagonal/>
    </border>
    <border>
      <left/>
      <right style="medium">
        <color rgb="FF00B0F0"/>
      </right>
      <top/>
      <bottom/>
      <diagonal/>
    </border>
    <border>
      <left/>
      <right/>
      <top style="medium">
        <color rgb="FF00B0F0"/>
      </top>
      <bottom style="medium">
        <color rgb="FF00B0F0"/>
      </bottom>
      <diagonal/>
    </border>
    <border>
      <left/>
      <right style="medium">
        <color rgb="FF00B0F0"/>
      </right>
      <top style="medium">
        <color rgb="FF00B0F0"/>
      </top>
      <bottom style="medium">
        <color rgb="FF00B0F0"/>
      </bottom>
      <diagonal/>
    </border>
    <border>
      <left/>
      <right/>
      <top/>
      <bottom style="medium">
        <color rgb="FF00B0F0"/>
      </bottom>
      <diagonal/>
    </border>
    <border>
      <left style="medium">
        <color rgb="FF009FDF"/>
      </left>
      <right/>
      <top style="medium">
        <color rgb="FF009FDF"/>
      </top>
      <bottom style="medium">
        <color rgb="FF009FDF"/>
      </bottom>
      <diagonal/>
    </border>
    <border>
      <left/>
      <right style="medium">
        <color rgb="FF009FDF"/>
      </right>
      <top style="medium">
        <color rgb="FF009FDF"/>
      </top>
      <bottom style="medium">
        <color rgb="FF009FDF"/>
      </bottom>
      <diagonal/>
    </border>
    <border>
      <left/>
      <right/>
      <top style="medium">
        <color rgb="FF009FDF"/>
      </top>
      <bottom style="medium">
        <color rgb="FF009FDF"/>
      </bottom>
      <diagonal/>
    </border>
    <border>
      <left/>
      <right style="medium">
        <color rgb="FF009FDF"/>
      </right>
      <top style="medium">
        <color rgb="FF00B0F0"/>
      </top>
      <bottom style="medium">
        <color rgb="FF00B0F0"/>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rgb="FF002F5F"/>
      </left>
      <right/>
      <top style="medium">
        <color indexed="64"/>
      </top>
      <bottom/>
      <diagonal/>
    </border>
    <border>
      <left style="medium">
        <color rgb="FF002F5F"/>
      </left>
      <right/>
      <top/>
      <bottom style="medium">
        <color indexed="64"/>
      </bottom>
      <diagonal/>
    </border>
    <border>
      <left style="medium">
        <color rgb="FF002F5F"/>
      </left>
      <right/>
      <top/>
      <bottom style="medium">
        <color rgb="FF002F5F"/>
      </bottom>
      <diagonal/>
    </border>
    <border>
      <left style="thin">
        <color theme="0"/>
      </left>
      <right/>
      <top style="thin">
        <color theme="0"/>
      </top>
      <bottom style="thin">
        <color theme="0"/>
      </bottom>
      <diagonal/>
    </border>
    <border>
      <left style="thin">
        <color theme="0"/>
      </left>
      <right/>
      <top style="thin">
        <color theme="0"/>
      </top>
      <bottom/>
      <diagonal/>
    </border>
    <border>
      <left style="thin">
        <color theme="0"/>
      </left>
      <right/>
      <top/>
      <bottom/>
      <diagonal/>
    </border>
    <border>
      <left style="thin">
        <color theme="0"/>
      </left>
      <right/>
      <top/>
      <bottom style="thin">
        <color theme="0"/>
      </bottom>
      <diagonal/>
    </border>
    <border>
      <left/>
      <right style="thin">
        <color theme="0"/>
      </right>
      <top/>
      <bottom style="thin">
        <color theme="0"/>
      </bottom>
      <diagonal/>
    </border>
    <border>
      <left style="thin">
        <color theme="0"/>
      </left>
      <right style="thin">
        <color theme="0"/>
      </right>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right/>
      <top/>
      <bottom style="thin">
        <color theme="0"/>
      </bottom>
      <diagonal/>
    </border>
    <border>
      <left/>
      <right/>
      <top style="thin">
        <color theme="0"/>
      </top>
      <bottom/>
      <diagonal/>
    </border>
    <border>
      <left/>
      <right style="thin">
        <color theme="1"/>
      </right>
      <top/>
      <bottom style="thin">
        <color theme="1"/>
      </bottom>
      <diagonal/>
    </border>
    <border>
      <left style="thin">
        <color theme="1"/>
      </left>
      <right style="thin">
        <color theme="1"/>
      </right>
      <top/>
      <bottom style="thin">
        <color theme="1"/>
      </bottom>
      <diagonal/>
    </border>
    <border>
      <left style="thin">
        <color theme="1"/>
      </left>
      <right/>
      <top/>
      <bottom style="thin">
        <color theme="1"/>
      </bottom>
      <diagonal/>
    </border>
    <border>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diagonal/>
    </border>
    <border>
      <left style="thin">
        <color theme="1"/>
      </left>
      <right style="thin">
        <color theme="1"/>
      </right>
      <top style="thin">
        <color theme="1"/>
      </top>
      <bottom/>
      <diagonal/>
    </border>
    <border>
      <left style="thin">
        <color theme="1"/>
      </left>
      <right/>
      <top style="thin">
        <color theme="1"/>
      </top>
      <bottom/>
      <diagonal/>
    </border>
    <border>
      <left style="medium">
        <color theme="4"/>
      </left>
      <right style="thin">
        <color theme="1"/>
      </right>
      <top style="medium">
        <color theme="4"/>
      </top>
      <bottom style="thin">
        <color theme="1"/>
      </bottom>
      <diagonal/>
    </border>
    <border>
      <left style="thin">
        <color theme="1"/>
      </left>
      <right style="thin">
        <color theme="1"/>
      </right>
      <top style="medium">
        <color theme="4"/>
      </top>
      <bottom style="thin">
        <color theme="1"/>
      </bottom>
      <diagonal/>
    </border>
    <border>
      <left style="thin">
        <color theme="1"/>
      </left>
      <right style="medium">
        <color theme="4"/>
      </right>
      <top style="medium">
        <color theme="4"/>
      </top>
      <bottom style="thin">
        <color theme="1"/>
      </bottom>
      <diagonal/>
    </border>
    <border>
      <left style="medium">
        <color theme="4"/>
      </left>
      <right style="thin">
        <color theme="1"/>
      </right>
      <top style="thin">
        <color theme="1"/>
      </top>
      <bottom style="thin">
        <color theme="1"/>
      </bottom>
      <diagonal/>
    </border>
    <border>
      <left style="thin">
        <color theme="1"/>
      </left>
      <right style="medium">
        <color theme="4"/>
      </right>
      <top style="thin">
        <color theme="1"/>
      </top>
      <bottom style="thin">
        <color theme="1"/>
      </bottom>
      <diagonal/>
    </border>
    <border>
      <left style="medium">
        <color theme="4"/>
      </left>
      <right style="thin">
        <color theme="1"/>
      </right>
      <top style="thin">
        <color theme="1"/>
      </top>
      <bottom style="medium">
        <color theme="4"/>
      </bottom>
      <diagonal/>
    </border>
    <border>
      <left style="thin">
        <color theme="1"/>
      </left>
      <right style="thin">
        <color theme="1"/>
      </right>
      <top style="thin">
        <color theme="1"/>
      </top>
      <bottom style="medium">
        <color theme="4"/>
      </bottom>
      <diagonal/>
    </border>
    <border>
      <left style="thin">
        <color theme="1"/>
      </left>
      <right style="medium">
        <color theme="4"/>
      </right>
      <top style="thin">
        <color theme="1"/>
      </top>
      <bottom style="medium">
        <color theme="4"/>
      </bottom>
      <diagonal/>
    </border>
    <border>
      <left style="medium">
        <color theme="4"/>
      </left>
      <right/>
      <top/>
      <bottom/>
      <diagonal/>
    </border>
    <border>
      <left style="medium">
        <color theme="4"/>
      </left>
      <right style="thin">
        <color theme="0"/>
      </right>
      <top/>
      <bottom style="thin">
        <color theme="0"/>
      </bottom>
      <diagonal/>
    </border>
    <border>
      <left style="medium">
        <color theme="4"/>
      </left>
      <right style="thin">
        <color theme="0"/>
      </right>
      <top style="thin">
        <color theme="0"/>
      </top>
      <bottom style="thin">
        <color theme="0"/>
      </bottom>
      <diagonal/>
    </border>
    <border>
      <left style="medium">
        <color theme="4"/>
      </left>
      <right style="thin">
        <color theme="0"/>
      </right>
      <top style="thin">
        <color theme="0"/>
      </top>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left style="medium">
        <color theme="1"/>
      </left>
      <right/>
      <top style="medium">
        <color theme="1"/>
      </top>
      <bottom style="medium">
        <color theme="4"/>
      </bottom>
      <diagonal/>
    </border>
    <border>
      <left/>
      <right/>
      <top style="medium">
        <color theme="1"/>
      </top>
      <bottom style="medium">
        <color theme="4"/>
      </bottom>
      <diagonal/>
    </border>
    <border>
      <left/>
      <right style="medium">
        <color theme="1"/>
      </right>
      <top style="medium">
        <color theme="1"/>
      </top>
      <bottom style="medium">
        <color theme="4"/>
      </bottom>
      <diagonal/>
    </border>
    <border>
      <left/>
      <right/>
      <top/>
      <bottom style="thin">
        <color theme="1"/>
      </bottom>
      <diagonal/>
    </border>
    <border>
      <left/>
      <right/>
      <top style="thin">
        <color theme="1"/>
      </top>
      <bottom style="thin">
        <color theme="1"/>
      </bottom>
      <diagonal/>
    </border>
    <border>
      <left/>
      <right/>
      <top style="thin">
        <color theme="1"/>
      </top>
      <bottom/>
      <diagonal/>
    </border>
    <border>
      <left/>
      <right style="thin">
        <color theme="0"/>
      </right>
      <top/>
      <bottom/>
      <diagonal/>
    </border>
    <border>
      <left style="thin">
        <color theme="0"/>
      </left>
      <right style="thin">
        <color theme="0"/>
      </right>
      <top/>
      <bottom/>
      <diagonal/>
    </border>
    <border>
      <left style="medium">
        <color rgb="FF009FDF"/>
      </left>
      <right style="thin">
        <color theme="1"/>
      </right>
      <top style="medium">
        <color rgb="FF009FDF"/>
      </top>
      <bottom style="thin">
        <color theme="1"/>
      </bottom>
      <diagonal/>
    </border>
    <border>
      <left style="thin">
        <color theme="1"/>
      </left>
      <right style="thin">
        <color theme="1"/>
      </right>
      <top style="medium">
        <color rgb="FF009FDF"/>
      </top>
      <bottom style="thin">
        <color theme="1"/>
      </bottom>
      <diagonal/>
    </border>
    <border>
      <left style="thin">
        <color theme="1"/>
      </left>
      <right style="medium">
        <color rgb="FF009FDF"/>
      </right>
      <top style="medium">
        <color rgb="FF009FDF"/>
      </top>
      <bottom style="thin">
        <color theme="1"/>
      </bottom>
      <diagonal/>
    </border>
    <border>
      <left style="medium">
        <color rgb="FF009FDF"/>
      </left>
      <right style="thin">
        <color theme="1"/>
      </right>
      <top style="thin">
        <color theme="1"/>
      </top>
      <bottom style="thin">
        <color theme="1"/>
      </bottom>
      <diagonal/>
    </border>
    <border>
      <left style="thin">
        <color theme="1"/>
      </left>
      <right style="medium">
        <color rgb="FF009FDF"/>
      </right>
      <top style="thin">
        <color theme="1"/>
      </top>
      <bottom style="thin">
        <color theme="1"/>
      </bottom>
      <diagonal/>
    </border>
    <border>
      <left style="medium">
        <color rgb="FF009FDF"/>
      </left>
      <right style="thin">
        <color theme="1"/>
      </right>
      <top style="thin">
        <color theme="1"/>
      </top>
      <bottom style="medium">
        <color rgb="FF009FDF"/>
      </bottom>
      <diagonal/>
    </border>
    <border>
      <left style="thin">
        <color theme="1"/>
      </left>
      <right style="thin">
        <color theme="1"/>
      </right>
      <top style="thin">
        <color theme="1"/>
      </top>
      <bottom style="medium">
        <color rgb="FF009FDF"/>
      </bottom>
      <diagonal/>
    </border>
    <border>
      <left style="thin">
        <color theme="1"/>
      </left>
      <right style="medium">
        <color rgb="FF009FDF"/>
      </right>
      <top style="thin">
        <color theme="1"/>
      </top>
      <bottom style="medium">
        <color rgb="FF009FDF"/>
      </bottom>
      <diagonal/>
    </border>
    <border>
      <left/>
      <right/>
      <top style="medium">
        <color rgb="FF00B0F0"/>
      </top>
      <bottom/>
      <diagonal/>
    </border>
    <border>
      <left/>
      <right/>
      <top style="medium">
        <color theme="1"/>
      </top>
      <bottom/>
      <diagonal/>
    </border>
    <border>
      <left/>
      <right style="medium">
        <color rgb="FF009FDF"/>
      </right>
      <top/>
      <bottom/>
      <diagonal/>
    </border>
    <border>
      <left style="medium">
        <color rgb="FF009FDF"/>
      </left>
      <right/>
      <top/>
      <bottom/>
      <diagonal/>
    </border>
  </borders>
  <cellStyleXfs count="5">
    <xf numFmtId="0" fontId="0" fillId="0" borderId="0"/>
    <xf numFmtId="164" fontId="9" fillId="0" borderId="0" applyFont="0" applyFill="0" applyBorder="0" applyAlignment="0" applyProtection="0"/>
    <xf numFmtId="9" fontId="9" fillId="0" borderId="0" applyFont="0" applyFill="0" applyBorder="0" applyAlignment="0" applyProtection="0"/>
    <xf numFmtId="44" fontId="9" fillId="0" borderId="0" applyFont="0" applyFill="0" applyBorder="0" applyAlignment="0" applyProtection="0"/>
    <xf numFmtId="0" fontId="41" fillId="0" borderId="0" applyNumberFormat="0" applyFill="0" applyBorder="0" applyAlignment="0" applyProtection="0"/>
  </cellStyleXfs>
  <cellXfs count="606">
    <xf numFmtId="0" fontId="0" fillId="0" borderId="0" xfId="0"/>
    <xf numFmtId="0" fontId="2" fillId="0" borderId="0" xfId="0" applyFont="1" applyAlignment="1">
      <alignment horizontal="center" vertical="center"/>
    </xf>
    <xf numFmtId="0" fontId="6" fillId="0" borderId="0" xfId="0" applyFont="1" applyAlignment="1">
      <alignment horizontal="left"/>
    </xf>
    <xf numFmtId="0" fontId="6" fillId="0" borderId="1" xfId="0" applyFont="1" applyBorder="1"/>
    <xf numFmtId="0" fontId="4" fillId="0" borderId="0" xfId="0" applyFont="1"/>
    <xf numFmtId="16" fontId="0" fillId="0" borderId="0" xfId="0" applyNumberFormat="1"/>
    <xf numFmtId="0" fontId="3" fillId="0" borderId="0" xfId="0" applyFont="1" applyAlignment="1">
      <alignment horizontal="center"/>
    </xf>
    <xf numFmtId="0" fontId="2" fillId="0" borderId="3" xfId="0" applyFont="1" applyBorder="1" applyAlignment="1">
      <alignment horizontal="center" vertical="center"/>
    </xf>
    <xf numFmtId="0" fontId="0" fillId="0" borderId="3" xfId="0" applyBorder="1" applyAlignment="1">
      <alignment horizontal="center"/>
    </xf>
    <xf numFmtId="2" fontId="0" fillId="0" borderId="3" xfId="0" applyNumberFormat="1" applyBorder="1" applyAlignment="1">
      <alignment horizontal="center"/>
    </xf>
    <xf numFmtId="0" fontId="8" fillId="0" borderId="3" xfId="0" applyFont="1" applyBorder="1" applyAlignment="1">
      <alignment horizontal="center" vertical="center"/>
    </xf>
    <xf numFmtId="165" fontId="0" fillId="0" borderId="3" xfId="0" applyNumberFormat="1" applyBorder="1" applyAlignment="1">
      <alignment horizontal="center"/>
    </xf>
    <xf numFmtId="2" fontId="0" fillId="0" borderId="0" xfId="0" applyNumberFormat="1" applyAlignment="1">
      <alignment horizontal="center"/>
    </xf>
    <xf numFmtId="2" fontId="2" fillId="0" borderId="3" xfId="0" applyNumberFormat="1" applyFont="1" applyBorder="1" applyAlignment="1">
      <alignment horizontal="center" vertical="center"/>
    </xf>
    <xf numFmtId="2" fontId="0" fillId="0" borderId="3" xfId="1" applyNumberFormat="1" applyFont="1" applyFill="1" applyBorder="1" applyAlignment="1">
      <alignment horizontal="center"/>
    </xf>
    <xf numFmtId="0" fontId="3" fillId="0" borderId="3" xfId="0" applyFont="1" applyBorder="1" applyAlignment="1">
      <alignment horizontal="center"/>
    </xf>
    <xf numFmtId="1" fontId="0" fillId="0" borderId="3" xfId="1" applyNumberFormat="1" applyFont="1" applyFill="1" applyBorder="1" applyAlignment="1">
      <alignment horizontal="center"/>
    </xf>
    <xf numFmtId="0" fontId="1" fillId="0" borderId="0" xfId="0" applyFont="1" applyAlignment="1">
      <alignment vertical="center"/>
    </xf>
    <xf numFmtId="2" fontId="2" fillId="0" borderId="0" xfId="0" applyNumberFormat="1" applyFont="1" applyAlignment="1">
      <alignment horizontal="center" vertical="center"/>
    </xf>
    <xf numFmtId="1" fontId="0" fillId="0" borderId="0" xfId="0" applyNumberFormat="1" applyAlignment="1">
      <alignment horizontal="center"/>
    </xf>
    <xf numFmtId="0" fontId="0" fillId="0" borderId="0" xfId="0" applyAlignment="1">
      <alignment horizontal="center"/>
    </xf>
    <xf numFmtId="0" fontId="12" fillId="0" borderId="0" xfId="0" applyFont="1"/>
    <xf numFmtId="0" fontId="3" fillId="0" borderId="0" xfId="0" applyFont="1"/>
    <xf numFmtId="0" fontId="4" fillId="0" borderId="0" xfId="0" applyFont="1" applyAlignment="1">
      <alignment horizontal="left" vertical="top"/>
    </xf>
    <xf numFmtId="0" fontId="8" fillId="0" borderId="7" xfId="0" applyFont="1" applyBorder="1" applyAlignment="1">
      <alignment horizontal="center" vertical="center"/>
    </xf>
    <xf numFmtId="0" fontId="13" fillId="0" borderId="0" xfId="0" applyFont="1"/>
    <xf numFmtId="0" fontId="14" fillId="0" borderId="0" xfId="0" applyFont="1" applyAlignment="1">
      <alignment horizontal="left"/>
    </xf>
    <xf numFmtId="0" fontId="14" fillId="0" borderId="0" xfId="0" applyFont="1"/>
    <xf numFmtId="0" fontId="15" fillId="0" borderId="0" xfId="0" applyFont="1"/>
    <xf numFmtId="0" fontId="21" fillId="0" borderId="0" xfId="0" applyFont="1"/>
    <xf numFmtId="0" fontId="16" fillId="0" borderId="0" xfId="0" applyFont="1"/>
    <xf numFmtId="0" fontId="20" fillId="0" borderId="0" xfId="0" applyFont="1"/>
    <xf numFmtId="0" fontId="20" fillId="0" borderId="0" xfId="0" quotePrefix="1" applyFont="1"/>
    <xf numFmtId="37" fontId="13" fillId="0" borderId="0" xfId="0" applyNumberFormat="1" applyFont="1" applyAlignment="1">
      <alignment vertical="center"/>
    </xf>
    <xf numFmtId="37" fontId="21" fillId="0" borderId="0" xfId="0" applyNumberFormat="1" applyFont="1" applyAlignment="1">
      <alignment vertical="center"/>
    </xf>
    <xf numFmtId="15" fontId="17" fillId="0" borderId="13" xfId="0" applyNumberFormat="1" applyFont="1" applyBorder="1" applyAlignment="1">
      <alignment horizontal="left" vertical="center" wrapText="1"/>
    </xf>
    <xf numFmtId="37" fontId="21" fillId="0" borderId="13" xfId="0" applyNumberFormat="1" applyFont="1" applyBorder="1" applyAlignment="1">
      <alignment vertical="center" wrapText="1"/>
    </xf>
    <xf numFmtId="0" fontId="21" fillId="0" borderId="0" xfId="0" applyFont="1" applyAlignment="1">
      <alignment vertical="center"/>
    </xf>
    <xf numFmtId="0" fontId="21" fillId="0" borderId="0" xfId="0" applyFont="1" applyAlignment="1">
      <alignment horizontal="center" vertical="center"/>
    </xf>
    <xf numFmtId="0" fontId="30" fillId="0" borderId="3" xfId="0" applyFont="1" applyBorder="1" applyAlignment="1">
      <alignment horizontal="left" vertical="center"/>
    </xf>
    <xf numFmtId="0" fontId="30" fillId="0" borderId="3" xfId="0" applyFont="1" applyBorder="1" applyAlignment="1">
      <alignment horizontal="center" vertical="center"/>
    </xf>
    <xf numFmtId="0" fontId="15" fillId="0" borderId="22" xfId="0" applyFont="1" applyBorder="1"/>
    <xf numFmtId="0" fontId="13" fillId="0" borderId="21" xfId="0" applyFont="1" applyBorder="1"/>
    <xf numFmtId="0" fontId="13" fillId="0" borderId="15" xfId="0" applyFont="1" applyBorder="1"/>
    <xf numFmtId="0" fontId="0" fillId="0" borderId="3" xfId="0" applyBorder="1"/>
    <xf numFmtId="0" fontId="32" fillId="0" borderId="3" xfId="0" applyFont="1" applyBorder="1" applyAlignment="1">
      <alignment horizontal="left" vertical="center"/>
    </xf>
    <xf numFmtId="0" fontId="13" fillId="0" borderId="18" xfId="0" applyFont="1" applyBorder="1"/>
    <xf numFmtId="3" fontId="21" fillId="0" borderId="0" xfId="0" applyNumberFormat="1" applyFont="1" applyAlignment="1" applyProtection="1">
      <alignment horizontal="center" vertical="center"/>
      <protection hidden="1"/>
    </xf>
    <xf numFmtId="3" fontId="21" fillId="0" borderId="0" xfId="0" applyNumberFormat="1" applyFont="1" applyAlignment="1" applyProtection="1">
      <alignment horizontal="left" vertical="center"/>
      <protection hidden="1"/>
    </xf>
    <xf numFmtId="37" fontId="25" fillId="0" borderId="0" xfId="0" applyNumberFormat="1" applyFont="1" applyAlignment="1">
      <alignment vertical="center"/>
    </xf>
    <xf numFmtId="37" fontId="13" fillId="0" borderId="0" xfId="0" applyNumberFormat="1" applyFont="1" applyAlignment="1">
      <alignment horizontal="right" vertical="center"/>
    </xf>
    <xf numFmtId="37" fontId="15" fillId="0" borderId="0" xfId="0" applyNumberFormat="1" applyFont="1" applyAlignment="1">
      <alignment horizontal="right" vertical="center"/>
    </xf>
    <xf numFmtId="9" fontId="15" fillId="0" borderId="0" xfId="2" applyFont="1" applyBorder="1" applyAlignment="1" applyProtection="1">
      <alignment horizontal="right" vertical="center"/>
    </xf>
    <xf numFmtId="44" fontId="15" fillId="0" borderId="0" xfId="3" applyFont="1" applyBorder="1" applyAlignment="1" applyProtection="1">
      <alignment horizontal="right" vertical="center"/>
    </xf>
    <xf numFmtId="37" fontId="24" fillId="0" borderId="16" xfId="0" applyNumberFormat="1" applyFont="1" applyBorder="1" applyAlignment="1">
      <alignment vertical="center"/>
    </xf>
    <xf numFmtId="37" fontId="13" fillId="0" borderId="16" xfId="0" applyNumberFormat="1" applyFont="1" applyBorder="1" applyAlignment="1">
      <alignment vertical="center"/>
    </xf>
    <xf numFmtId="0" fontId="17" fillId="0" borderId="22" xfId="0" applyFont="1" applyBorder="1" applyAlignment="1">
      <alignment vertical="center" wrapText="1"/>
    </xf>
    <xf numFmtId="0" fontId="21" fillId="0" borderId="22" xfId="0" applyFont="1" applyBorder="1" applyAlignment="1">
      <alignment vertical="center"/>
    </xf>
    <xf numFmtId="0" fontId="13" fillId="0" borderId="22" xfId="0" applyFont="1" applyBorder="1" applyAlignment="1">
      <alignment vertical="center"/>
    </xf>
    <xf numFmtId="0" fontId="15" fillId="0" borderId="22" xfId="0" applyFont="1" applyBorder="1" applyAlignment="1">
      <alignment vertical="center"/>
    </xf>
    <xf numFmtId="0" fontId="13" fillId="2" borderId="21" xfId="0" applyFont="1" applyFill="1" applyBorder="1"/>
    <xf numFmtId="37" fontId="21" fillId="0" borderId="16" xfId="0" applyNumberFormat="1" applyFont="1" applyBorder="1" applyAlignment="1">
      <alignment horizontal="right" vertical="center"/>
    </xf>
    <xf numFmtId="37" fontId="21" fillId="0" borderId="16" xfId="0" applyNumberFormat="1" applyFont="1" applyBorder="1" applyAlignment="1">
      <alignment vertical="center"/>
    </xf>
    <xf numFmtId="37" fontId="21" fillId="0" borderId="17" xfId="0" applyNumberFormat="1" applyFont="1" applyBorder="1" applyAlignment="1">
      <alignment vertical="center"/>
    </xf>
    <xf numFmtId="14" fontId="21" fillId="0" borderId="19" xfId="0" applyNumberFormat="1" applyFont="1" applyBorder="1" applyAlignment="1">
      <alignment vertical="center"/>
    </xf>
    <xf numFmtId="0" fontId="21" fillId="0" borderId="19" xfId="0" applyFont="1" applyBorder="1" applyAlignment="1">
      <alignment vertical="center"/>
    </xf>
    <xf numFmtId="0" fontId="21" fillId="0" borderId="20" xfId="0" applyFont="1" applyBorder="1" applyAlignment="1">
      <alignment vertical="center"/>
    </xf>
    <xf numFmtId="0" fontId="17" fillId="0" borderId="24" xfId="0" applyFont="1" applyBorder="1" applyAlignment="1">
      <alignment vertical="center" wrapText="1"/>
    </xf>
    <xf numFmtId="168" fontId="21" fillId="0" borderId="0" xfId="0" applyNumberFormat="1" applyFont="1" applyAlignment="1">
      <alignment horizontal="left" vertical="top"/>
    </xf>
    <xf numFmtId="0" fontId="8" fillId="0" borderId="0" xfId="0" applyFont="1" applyAlignment="1">
      <alignment horizontal="center" vertical="center"/>
    </xf>
    <xf numFmtId="0" fontId="32" fillId="0" borderId="0" xfId="0" applyFont="1" applyAlignment="1">
      <alignment horizontal="left" vertical="center"/>
    </xf>
    <xf numFmtId="37" fontId="17" fillId="0" borderId="19" xfId="0" applyNumberFormat="1" applyFont="1" applyBorder="1" applyAlignment="1">
      <alignment vertical="center"/>
    </xf>
    <xf numFmtId="3" fontId="21" fillId="0" borderId="19" xfId="1" applyNumberFormat="1" applyFont="1" applyBorder="1" applyAlignment="1">
      <alignment horizontal="center" vertical="center"/>
    </xf>
    <xf numFmtId="0" fontId="17" fillId="0" borderId="20" xfId="0" applyFont="1" applyBorder="1" applyAlignment="1">
      <alignment vertical="center" wrapText="1"/>
    </xf>
    <xf numFmtId="0" fontId="8" fillId="0" borderId="8" xfId="0" applyFont="1" applyBorder="1" applyAlignment="1">
      <alignment horizontal="center" vertical="center"/>
    </xf>
    <xf numFmtId="0" fontId="32" fillId="0" borderId="8" xfId="0" applyFont="1" applyBorder="1" applyAlignment="1">
      <alignment horizontal="left" vertical="center"/>
    </xf>
    <xf numFmtId="167" fontId="0" fillId="0" borderId="0" xfId="2" applyNumberFormat="1" applyFont="1" applyBorder="1" applyAlignment="1">
      <alignment horizontal="center"/>
    </xf>
    <xf numFmtId="0" fontId="6" fillId="0" borderId="0" xfId="0" applyFont="1" applyAlignment="1">
      <alignment vertical="top" wrapText="1"/>
    </xf>
    <xf numFmtId="0" fontId="6" fillId="0" borderId="0" xfId="0" applyFont="1" applyAlignment="1">
      <alignment vertical="top"/>
    </xf>
    <xf numFmtId="0" fontId="30" fillId="0" borderId="0" xfId="0" applyFont="1" applyAlignment="1">
      <alignment horizontal="left" vertical="center"/>
    </xf>
    <xf numFmtId="0" fontId="21" fillId="0" borderId="22" xfId="0" applyFont="1" applyBorder="1"/>
    <xf numFmtId="0" fontId="30" fillId="0" borderId="22" xfId="0" applyFont="1" applyBorder="1" applyAlignment="1">
      <alignment vertical="top"/>
    </xf>
    <xf numFmtId="0" fontId="37" fillId="0" borderId="0" xfId="0" applyFont="1" applyAlignment="1">
      <alignment horizontal="left" indent="2"/>
    </xf>
    <xf numFmtId="3" fontId="21" fillId="0" borderId="3" xfId="0" applyNumberFormat="1" applyFont="1" applyBorder="1" applyAlignment="1">
      <alignment horizontal="center" vertical="center"/>
    </xf>
    <xf numFmtId="0" fontId="13" fillId="0" borderId="0" xfId="0" applyFont="1" applyAlignment="1">
      <alignment horizontal="center" vertical="center" wrapText="1"/>
    </xf>
    <xf numFmtId="2" fontId="0" fillId="0" borderId="0" xfId="0" applyNumberFormat="1"/>
    <xf numFmtId="2" fontId="0" fillId="0" borderId="0" xfId="0" applyNumberFormat="1" applyAlignment="1">
      <alignment horizontal="center" vertical="center"/>
    </xf>
    <xf numFmtId="0" fontId="0" fillId="0" borderId="0" xfId="0" applyAlignment="1">
      <alignment horizontal="center" vertical="center"/>
    </xf>
    <xf numFmtId="3" fontId="0" fillId="0" borderId="0" xfId="0" applyNumberFormat="1"/>
    <xf numFmtId="166" fontId="21" fillId="0" borderId="3" xfId="3" applyNumberFormat="1" applyFont="1" applyBorder="1" applyAlignment="1" applyProtection="1">
      <alignment horizontal="center" vertical="center"/>
    </xf>
    <xf numFmtId="0" fontId="0" fillId="4" borderId="0" xfId="0" applyFill="1"/>
    <xf numFmtId="0" fontId="41" fillId="0" borderId="0" xfId="4"/>
    <xf numFmtId="3" fontId="0" fillId="0" borderId="0" xfId="0" applyNumberFormat="1" applyAlignment="1">
      <alignment horizontal="center"/>
    </xf>
    <xf numFmtId="165" fontId="0" fillId="0" borderId="0" xfId="0" applyNumberFormat="1" applyAlignment="1">
      <alignment horizontal="center" vertical="center"/>
    </xf>
    <xf numFmtId="0" fontId="0" fillId="0" borderId="0" xfId="0" applyAlignment="1">
      <alignment horizontal="left" vertical="center" wrapText="1"/>
    </xf>
    <xf numFmtId="0" fontId="10" fillId="8" borderId="26" xfId="0" applyFont="1" applyFill="1" applyBorder="1" applyAlignment="1">
      <alignment horizontal="centerContinuous"/>
    </xf>
    <xf numFmtId="0" fontId="43" fillId="0" borderId="0" xfId="0" applyFont="1"/>
    <xf numFmtId="0" fontId="44" fillId="0" borderId="0" xfId="0" applyFont="1" applyAlignment="1">
      <alignment horizontal="center" vertical="center" wrapText="1"/>
    </xf>
    <xf numFmtId="0" fontId="22" fillId="9" borderId="0" xfId="0" applyFont="1" applyFill="1" applyAlignment="1">
      <alignment vertical="center" wrapText="1"/>
    </xf>
    <xf numFmtId="0" fontId="3" fillId="0" borderId="3" xfId="0" applyFont="1" applyBorder="1" applyAlignment="1">
      <alignment horizontal="left"/>
    </xf>
    <xf numFmtId="165" fontId="0" fillId="0" borderId="3" xfId="1" applyNumberFormat="1" applyFont="1" applyFill="1" applyBorder="1" applyAlignment="1">
      <alignment horizontal="center"/>
    </xf>
    <xf numFmtId="171" fontId="0" fillId="0" borderId="3" xfId="1" applyNumberFormat="1" applyFont="1" applyFill="1" applyBorder="1" applyAlignment="1">
      <alignment horizontal="center"/>
    </xf>
    <xf numFmtId="170" fontId="21" fillId="0" borderId="3" xfId="0" applyNumberFormat="1" applyFont="1" applyBorder="1" applyAlignment="1">
      <alignment horizontal="center" vertical="center"/>
    </xf>
    <xf numFmtId="166" fontId="21" fillId="0" borderId="0" xfId="3" applyNumberFormat="1" applyFont="1" applyBorder="1" applyAlignment="1" applyProtection="1">
      <alignment horizontal="center" vertical="center"/>
    </xf>
    <xf numFmtId="0" fontId="22" fillId="9" borderId="0" xfId="0" applyFont="1" applyFill="1" applyAlignment="1">
      <alignment vertical="center"/>
    </xf>
    <xf numFmtId="0" fontId="22" fillId="9" borderId="0" xfId="0" applyFont="1" applyFill="1" applyAlignment="1">
      <alignment horizontal="left" vertical="center"/>
    </xf>
    <xf numFmtId="0" fontId="11" fillId="0" borderId="3" xfId="0" applyFont="1" applyBorder="1" applyAlignment="1">
      <alignment horizontal="center" vertical="center"/>
    </xf>
    <xf numFmtId="0" fontId="3" fillId="0" borderId="3" xfId="0" applyFont="1" applyBorder="1" applyAlignment="1">
      <alignment horizontal="center" vertical="center"/>
    </xf>
    <xf numFmtId="0" fontId="31" fillId="0" borderId="3" xfId="0" applyFont="1" applyBorder="1" applyAlignment="1">
      <alignment horizontal="center" vertical="center"/>
    </xf>
    <xf numFmtId="165" fontId="31" fillId="0" borderId="3" xfId="0" applyNumberFormat="1" applyFont="1" applyBorder="1" applyAlignment="1">
      <alignment horizontal="center" vertical="center"/>
    </xf>
    <xf numFmtId="1" fontId="31" fillId="0" borderId="3" xfId="0" applyNumberFormat="1" applyFont="1" applyBorder="1" applyAlignment="1">
      <alignment horizontal="center" vertical="center"/>
    </xf>
    <xf numFmtId="2" fontId="31" fillId="0" borderId="3" xfId="0" applyNumberFormat="1" applyFont="1" applyBorder="1" applyAlignment="1">
      <alignment horizontal="center" vertical="center"/>
    </xf>
    <xf numFmtId="3" fontId="31" fillId="0" borderId="3" xfId="0" applyNumberFormat="1" applyFont="1" applyBorder="1" applyAlignment="1">
      <alignment horizontal="center" vertical="center"/>
    </xf>
    <xf numFmtId="0" fontId="3" fillId="0" borderId="3" xfId="0" applyFont="1" applyBorder="1" applyAlignment="1">
      <alignment horizontal="center" vertical="center" wrapText="1"/>
    </xf>
    <xf numFmtId="172" fontId="11" fillId="0" borderId="3" xfId="0" applyNumberFormat="1" applyFont="1" applyBorder="1" applyAlignment="1">
      <alignment horizontal="center" vertical="center"/>
    </xf>
    <xf numFmtId="2" fontId="11" fillId="0" borderId="3" xfId="0" applyNumberFormat="1" applyFont="1" applyBorder="1" applyAlignment="1">
      <alignment horizontal="center" vertical="center"/>
    </xf>
    <xf numFmtId="165" fontId="11" fillId="0" borderId="3" xfId="0" applyNumberFormat="1" applyFont="1" applyBorder="1" applyAlignment="1">
      <alignment horizontal="center" vertical="center"/>
    </xf>
    <xf numFmtId="1" fontId="11" fillId="0" borderId="3" xfId="0" applyNumberFormat="1" applyFont="1" applyBorder="1" applyAlignment="1">
      <alignment horizontal="center" vertical="center"/>
    </xf>
    <xf numFmtId="3" fontId="11" fillId="0" borderId="3" xfId="0" applyNumberFormat="1" applyFont="1" applyBorder="1" applyAlignment="1">
      <alignment horizontal="center" vertical="center"/>
    </xf>
    <xf numFmtId="2" fontId="34" fillId="0" borderId="3" xfId="0" applyNumberFormat="1" applyFont="1" applyBorder="1" applyAlignment="1">
      <alignment horizontal="center" vertical="center"/>
    </xf>
    <xf numFmtId="0" fontId="21" fillId="0" borderId="0" xfId="0" applyFont="1" applyAlignment="1">
      <alignment horizontal="left" vertical="center"/>
    </xf>
    <xf numFmtId="1" fontId="21" fillId="0" borderId="0" xfId="0" applyNumberFormat="1" applyFont="1" applyAlignment="1">
      <alignment horizontal="center" vertical="center"/>
    </xf>
    <xf numFmtId="44" fontId="21" fillId="0" borderId="0" xfId="3" applyFont="1" applyBorder="1" applyAlignment="1" applyProtection="1">
      <alignment horizontal="center" vertical="center"/>
      <protection hidden="1"/>
    </xf>
    <xf numFmtId="44" fontId="21" fillId="0" borderId="3" xfId="3" applyFont="1" applyBorder="1" applyAlignment="1" applyProtection="1">
      <alignment horizontal="center" vertical="center"/>
    </xf>
    <xf numFmtId="0" fontId="17" fillId="0" borderId="0" xfId="0" applyFont="1" applyAlignment="1">
      <alignment horizontal="left" vertical="center"/>
    </xf>
    <xf numFmtId="44" fontId="17" fillId="0" borderId="0" xfId="3" applyFont="1" applyBorder="1" applyAlignment="1" applyProtection="1">
      <alignment horizontal="center" vertical="center"/>
    </xf>
    <xf numFmtId="0" fontId="13" fillId="0" borderId="0" xfId="0" applyFont="1" applyAlignment="1">
      <alignment horizontal="center" vertical="center"/>
    </xf>
    <xf numFmtId="166" fontId="13" fillId="0" borderId="0" xfId="3" applyNumberFormat="1" applyFont="1" applyAlignment="1">
      <alignment horizontal="center" vertical="center"/>
    </xf>
    <xf numFmtId="9" fontId="13" fillId="0" borderId="0" xfId="2" applyFont="1" applyAlignment="1">
      <alignment horizontal="center" vertical="center"/>
    </xf>
    <xf numFmtId="1" fontId="21" fillId="0" borderId="3" xfId="0" applyNumberFormat="1" applyFont="1" applyBorder="1" applyAlignment="1">
      <alignment horizontal="center" vertical="center" wrapText="1"/>
    </xf>
    <xf numFmtId="1" fontId="21" fillId="10" borderId="3" xfId="0" applyNumberFormat="1" applyFont="1" applyFill="1" applyBorder="1" applyAlignment="1">
      <alignment horizontal="center" vertical="center" wrapText="1"/>
    </xf>
    <xf numFmtId="3" fontId="21" fillId="10" borderId="3" xfId="0" applyNumberFormat="1" applyFont="1" applyFill="1" applyBorder="1" applyAlignment="1">
      <alignment horizontal="center" vertical="center"/>
    </xf>
    <xf numFmtId="166" fontId="27" fillId="0" borderId="0" xfId="0" applyNumberFormat="1" applyFont="1"/>
    <xf numFmtId="37" fontId="17" fillId="0" borderId="0" xfId="3" applyNumberFormat="1" applyFont="1" applyBorder="1" applyAlignment="1" applyProtection="1">
      <alignment horizontal="center" vertical="center"/>
      <protection hidden="1"/>
    </xf>
    <xf numFmtId="9" fontId="30" fillId="0" borderId="3" xfId="2" applyFont="1" applyFill="1" applyBorder="1" applyAlignment="1" applyProtection="1">
      <alignment horizontal="center" vertical="center"/>
    </xf>
    <xf numFmtId="0" fontId="0" fillId="0" borderId="0" xfId="0" applyAlignment="1">
      <alignment vertical="center"/>
    </xf>
    <xf numFmtId="0" fontId="15" fillId="0" borderId="0" xfId="0" applyFont="1" applyAlignment="1">
      <alignment horizontal="center" vertical="center"/>
    </xf>
    <xf numFmtId="173" fontId="21" fillId="10" borderId="3" xfId="0" applyNumberFormat="1" applyFont="1" applyFill="1" applyBorder="1" applyAlignment="1">
      <alignment horizontal="center" vertical="center"/>
    </xf>
    <xf numFmtId="2" fontId="15" fillId="0" borderId="3" xfId="0" applyNumberFormat="1" applyFont="1" applyBorder="1" applyAlignment="1">
      <alignment horizontal="center"/>
    </xf>
    <xf numFmtId="2" fontId="21" fillId="0" borderId="3" xfId="0" applyNumberFormat="1" applyFont="1" applyBorder="1" applyAlignment="1">
      <alignment horizontal="center" vertical="center"/>
    </xf>
    <xf numFmtId="4" fontId="21" fillId="0" borderId="3" xfId="0" applyNumberFormat="1" applyFont="1" applyBorder="1" applyAlignment="1">
      <alignment horizontal="center" vertical="center"/>
    </xf>
    <xf numFmtId="0" fontId="0" fillId="0" borderId="0" xfId="0" applyAlignment="1">
      <alignment horizontal="left" vertical="center"/>
    </xf>
    <xf numFmtId="3" fontId="0" fillId="0" borderId="0" xfId="0" applyNumberFormat="1" applyAlignment="1">
      <alignment horizontal="center" vertical="center"/>
    </xf>
    <xf numFmtId="37" fontId="21" fillId="0" borderId="12" xfId="0" applyNumberFormat="1" applyFont="1" applyBorder="1" applyAlignment="1">
      <alignment vertical="center"/>
    </xf>
    <xf numFmtId="37" fontId="21" fillId="0" borderId="42" xfId="0" applyNumberFormat="1" applyFont="1" applyBorder="1" applyAlignment="1">
      <alignment vertical="center"/>
    </xf>
    <xf numFmtId="37" fontId="21" fillId="0" borderId="43" xfId="0" applyNumberFormat="1" applyFont="1" applyBorder="1" applyAlignment="1">
      <alignment vertical="center" wrapText="1"/>
    </xf>
    <xf numFmtId="37" fontId="21" fillId="0" borderId="14" xfId="0" applyNumberFormat="1" applyFont="1" applyBorder="1" applyAlignment="1">
      <alignment vertical="center"/>
    </xf>
    <xf numFmtId="37" fontId="21" fillId="0" borderId="44" xfId="0" applyNumberFormat="1" applyFont="1" applyBorder="1" applyAlignment="1">
      <alignment vertical="center"/>
    </xf>
    <xf numFmtId="0" fontId="17" fillId="0" borderId="23" xfId="0" applyFont="1" applyBorder="1" applyAlignment="1">
      <alignment vertical="center" wrapText="1"/>
    </xf>
    <xf numFmtId="0" fontId="15" fillId="10" borderId="30" xfId="0" applyFont="1" applyFill="1" applyBorder="1" applyAlignment="1" applyProtection="1">
      <alignment horizontal="center" vertical="center"/>
      <protection locked="0"/>
    </xf>
    <xf numFmtId="0" fontId="51" fillId="0" borderId="0" xfId="0" applyFont="1" applyAlignment="1">
      <alignment horizontal="left" vertical="center" indent="9"/>
    </xf>
    <xf numFmtId="0" fontId="8" fillId="4" borderId="3" xfId="0" applyFont="1" applyFill="1" applyBorder="1" applyAlignment="1">
      <alignment horizontal="center" vertical="center"/>
    </xf>
    <xf numFmtId="0" fontId="0" fillId="4" borderId="3" xfId="0" applyFill="1" applyBorder="1" applyAlignment="1">
      <alignment wrapText="1"/>
    </xf>
    <xf numFmtId="3" fontId="0" fillId="4" borderId="3" xfId="0" applyNumberFormat="1" applyFill="1" applyBorder="1" applyAlignment="1">
      <alignment horizontal="center" vertical="center"/>
    </xf>
    <xf numFmtId="0" fontId="0" fillId="4" borderId="3" xfId="0" applyFill="1" applyBorder="1" applyAlignment="1">
      <alignment horizontal="center" vertical="center"/>
    </xf>
    <xf numFmtId="0" fontId="0" fillId="4" borderId="3" xfId="0" applyFill="1" applyBorder="1"/>
    <xf numFmtId="0" fontId="3" fillId="4" borderId="0" xfId="0" applyFont="1" applyFill="1"/>
    <xf numFmtId="3" fontId="0" fillId="4" borderId="3" xfId="0" applyNumberFormat="1" applyFill="1" applyBorder="1"/>
    <xf numFmtId="0" fontId="3" fillId="4" borderId="3" xfId="0" applyFont="1" applyFill="1" applyBorder="1"/>
    <xf numFmtId="0" fontId="12" fillId="4" borderId="0" xfId="0" applyFont="1" applyFill="1"/>
    <xf numFmtId="3" fontId="0" fillId="4" borderId="0" xfId="0" applyNumberFormat="1" applyFill="1" applyAlignment="1">
      <alignment horizontal="center"/>
    </xf>
    <xf numFmtId="0" fontId="17" fillId="0" borderId="0" xfId="0" applyFont="1" applyAlignment="1">
      <alignment vertical="center" wrapText="1"/>
    </xf>
    <xf numFmtId="37" fontId="24" fillId="0" borderId="0" xfId="0" applyNumberFormat="1" applyFont="1" applyAlignment="1">
      <alignment vertical="center"/>
    </xf>
    <xf numFmtId="37" fontId="13" fillId="9" borderId="0" xfId="0" applyNumberFormat="1" applyFont="1" applyFill="1" applyAlignment="1">
      <alignment horizontal="right" vertical="center"/>
    </xf>
    <xf numFmtId="0" fontId="17" fillId="9" borderId="0" xfId="0" applyFont="1" applyFill="1" applyAlignment="1">
      <alignment horizontal="left" vertical="center"/>
    </xf>
    <xf numFmtId="0" fontId="21" fillId="9" borderId="0" xfId="0" applyFont="1" applyFill="1" applyAlignment="1">
      <alignment horizontal="justify" vertical="center" wrapText="1"/>
    </xf>
    <xf numFmtId="37" fontId="17" fillId="0" borderId="0" xfId="0" applyNumberFormat="1" applyFont="1" applyAlignment="1">
      <alignment vertical="center"/>
    </xf>
    <xf numFmtId="0" fontId="17" fillId="11" borderId="0" xfId="0" applyFont="1" applyFill="1" applyAlignment="1">
      <alignment vertical="center" wrapText="1"/>
    </xf>
    <xf numFmtId="37" fontId="35" fillId="0" borderId="0" xfId="0" applyNumberFormat="1" applyFont="1" applyAlignment="1">
      <alignment vertical="center" wrapText="1"/>
    </xf>
    <xf numFmtId="174" fontId="13" fillId="0" borderId="0" xfId="3" applyNumberFormat="1" applyFont="1" applyAlignment="1">
      <alignment horizontal="center" vertical="center"/>
    </xf>
    <xf numFmtId="175" fontId="13" fillId="0" borderId="0" xfId="1" applyNumberFormat="1" applyFont="1" applyAlignment="1">
      <alignment horizontal="center" vertical="center"/>
    </xf>
    <xf numFmtId="0" fontId="21" fillId="10" borderId="30" xfId="0" applyFont="1" applyFill="1" applyBorder="1" applyAlignment="1" applyProtection="1">
      <alignment horizontal="center" vertical="center"/>
      <protection locked="0"/>
    </xf>
    <xf numFmtId="0" fontId="40" fillId="10" borderId="28" xfId="0" applyFont="1" applyFill="1" applyBorder="1" applyAlignment="1" applyProtection="1">
      <alignment horizontal="center" vertical="center" wrapText="1"/>
      <protection locked="0"/>
    </xf>
    <xf numFmtId="2" fontId="15" fillId="0" borderId="0" xfId="0" applyNumberFormat="1" applyFont="1" applyAlignment="1">
      <alignment horizontal="left" vertical="center"/>
    </xf>
    <xf numFmtId="0" fontId="15" fillId="0" borderId="0" xfId="0" applyFont="1" applyAlignment="1">
      <alignment horizontal="left" vertical="center"/>
    </xf>
    <xf numFmtId="3" fontId="55" fillId="0" borderId="28" xfId="0" applyNumberFormat="1" applyFont="1" applyBorder="1" applyAlignment="1">
      <alignment horizontal="center"/>
    </xf>
    <xf numFmtId="9" fontId="55" fillId="0" borderId="28" xfId="2" applyFont="1" applyBorder="1" applyAlignment="1">
      <alignment horizontal="center"/>
    </xf>
    <xf numFmtId="0" fontId="40" fillId="10" borderId="59" xfId="0" applyFont="1" applyFill="1" applyBorder="1" applyAlignment="1" applyProtection="1">
      <alignment horizontal="center" vertical="center" wrapText="1"/>
      <protection locked="0"/>
    </xf>
    <xf numFmtId="0" fontId="40" fillId="10" borderId="65" xfId="0" applyFont="1" applyFill="1" applyBorder="1" applyAlignment="1" applyProtection="1">
      <alignment horizontal="center" vertical="center" wrapText="1"/>
      <protection locked="0"/>
    </xf>
    <xf numFmtId="0" fontId="2" fillId="10" borderId="66" xfId="0" applyFont="1" applyFill="1" applyBorder="1" applyAlignment="1" applyProtection="1">
      <alignment horizontal="center" vertical="center"/>
      <protection locked="0"/>
    </xf>
    <xf numFmtId="0" fontId="2" fillId="10" borderId="68" xfId="0" applyFont="1" applyFill="1" applyBorder="1" applyAlignment="1" applyProtection="1">
      <alignment horizontal="center" vertical="center"/>
      <protection locked="0"/>
    </xf>
    <xf numFmtId="0" fontId="40" fillId="10" borderId="70" xfId="0" applyFont="1" applyFill="1" applyBorder="1" applyAlignment="1" applyProtection="1">
      <alignment horizontal="center" vertical="center" wrapText="1"/>
      <protection locked="0"/>
    </xf>
    <xf numFmtId="0" fontId="2" fillId="10" borderId="71" xfId="0" applyFont="1" applyFill="1" applyBorder="1" applyAlignment="1" applyProtection="1">
      <alignment horizontal="center" vertical="center"/>
      <protection locked="0"/>
    </xf>
    <xf numFmtId="37" fontId="40" fillId="10" borderId="59" xfId="3" applyNumberFormat="1" applyFont="1" applyFill="1" applyBorder="1" applyAlignment="1" applyProtection="1">
      <alignment horizontal="center" vertical="center" wrapText="1"/>
      <protection locked="0"/>
    </xf>
    <xf numFmtId="37" fontId="40" fillId="10" borderId="64" xfId="3" applyNumberFormat="1" applyFont="1" applyFill="1" applyBorder="1" applyAlignment="1" applyProtection="1">
      <alignment horizontal="center" vertical="center" wrapText="1"/>
      <protection locked="0"/>
    </xf>
    <xf numFmtId="37" fontId="40" fillId="10" borderId="65" xfId="3" applyNumberFormat="1" applyFont="1" applyFill="1" applyBorder="1" applyAlignment="1" applyProtection="1">
      <alignment horizontal="center" vertical="center" wrapText="1"/>
      <protection locked="0"/>
    </xf>
    <xf numFmtId="0" fontId="40" fillId="10" borderId="66" xfId="0" applyFont="1" applyFill="1" applyBorder="1" applyAlignment="1" applyProtection="1">
      <alignment horizontal="center" vertical="center" wrapText="1"/>
      <protection locked="0"/>
    </xf>
    <xf numFmtId="37" fontId="40" fillId="10" borderId="67" xfId="3" applyNumberFormat="1" applyFont="1" applyFill="1" applyBorder="1" applyAlignment="1" applyProtection="1">
      <alignment horizontal="center" vertical="center" wrapText="1"/>
      <protection locked="0"/>
    </xf>
    <xf numFmtId="0" fontId="40" fillId="10" borderId="68" xfId="0" applyFont="1" applyFill="1" applyBorder="1" applyAlignment="1" applyProtection="1">
      <alignment horizontal="center" vertical="center" wrapText="1"/>
      <protection locked="0"/>
    </xf>
    <xf numFmtId="37" fontId="40" fillId="10" borderId="69" xfId="3" applyNumberFormat="1" applyFont="1" applyFill="1" applyBorder="1" applyAlignment="1" applyProtection="1">
      <alignment horizontal="center" vertical="center" wrapText="1"/>
      <protection locked="0"/>
    </xf>
    <xf numFmtId="37" fontId="40" fillId="10" borderId="70" xfId="3" applyNumberFormat="1" applyFont="1" applyFill="1" applyBorder="1" applyAlignment="1" applyProtection="1">
      <alignment horizontal="center" vertical="center" wrapText="1"/>
      <protection locked="0"/>
    </xf>
    <xf numFmtId="0" fontId="40" fillId="10" borderId="71" xfId="0" applyFont="1" applyFill="1" applyBorder="1" applyAlignment="1" applyProtection="1">
      <alignment horizontal="center" vertical="center" wrapText="1"/>
      <protection locked="0"/>
    </xf>
    <xf numFmtId="37" fontId="58" fillId="0" borderId="0" xfId="0" applyNumberFormat="1" applyFont="1" applyAlignment="1">
      <alignment horizontal="left" vertical="center" wrapText="1"/>
    </xf>
    <xf numFmtId="37" fontId="58" fillId="0" borderId="0" xfId="0" applyNumberFormat="1" applyFont="1" applyAlignment="1">
      <alignment horizontal="left" vertical="top" wrapText="1"/>
    </xf>
    <xf numFmtId="0" fontId="62" fillId="0" borderId="0" xfId="0" applyFont="1"/>
    <xf numFmtId="0" fontId="8" fillId="0" borderId="3" xfId="0" applyFont="1" applyBorder="1" applyAlignment="1">
      <alignment horizontal="center" vertical="center" wrapText="1"/>
    </xf>
    <xf numFmtId="0" fontId="63" fillId="0" borderId="0" xfId="0" applyFont="1" applyAlignment="1">
      <alignment horizontal="left" vertical="top"/>
    </xf>
    <xf numFmtId="0" fontId="58" fillId="0" borderId="0" xfId="0" applyFont="1" applyAlignment="1">
      <alignment horizontal="left" vertical="center" shrinkToFit="1"/>
    </xf>
    <xf numFmtId="0" fontId="65" fillId="0" borderId="0" xfId="0" applyFont="1" applyAlignment="1">
      <alignment horizontal="left" vertical="center" wrapText="1" shrinkToFit="1"/>
    </xf>
    <xf numFmtId="176" fontId="17" fillId="13" borderId="0" xfId="3" applyNumberFormat="1" applyFont="1" applyFill="1" applyBorder="1" applyAlignment="1" applyProtection="1">
      <alignment horizontal="center" vertical="center"/>
    </xf>
    <xf numFmtId="165" fontId="11" fillId="0" borderId="3" xfId="1" applyNumberFormat="1" applyFont="1" applyBorder="1" applyAlignment="1">
      <alignment horizontal="center"/>
    </xf>
    <xf numFmtId="0" fontId="45" fillId="0" borderId="0" xfId="0" applyFont="1" applyAlignment="1">
      <alignment horizontal="left"/>
    </xf>
    <xf numFmtId="0" fontId="45" fillId="0" borderId="0" xfId="0" applyFont="1" applyAlignment="1">
      <alignment horizontal="left" vertical="center"/>
    </xf>
    <xf numFmtId="0" fontId="13" fillId="0" borderId="0" xfId="0" applyFont="1" applyAlignment="1">
      <alignment vertical="center"/>
    </xf>
    <xf numFmtId="0" fontId="56" fillId="0" borderId="0" xfId="0" applyFont="1"/>
    <xf numFmtId="0" fontId="57" fillId="0" borderId="0" xfId="0" applyFont="1" applyAlignment="1">
      <alignment vertical="center"/>
    </xf>
    <xf numFmtId="0" fontId="21" fillId="9" borderId="0" xfId="0" applyFont="1" applyFill="1" applyAlignment="1">
      <alignment vertical="center"/>
    </xf>
    <xf numFmtId="0" fontId="21" fillId="9" borderId="25" xfId="0" applyFont="1" applyFill="1" applyBorder="1" applyAlignment="1">
      <alignment vertical="center"/>
    </xf>
    <xf numFmtId="0" fontId="14" fillId="9" borderId="0" xfId="0" applyFont="1" applyFill="1" applyAlignment="1">
      <alignment horizontal="left"/>
    </xf>
    <xf numFmtId="0" fontId="46" fillId="5" borderId="0" xfId="0" applyFont="1" applyFill="1" applyAlignment="1">
      <alignment vertical="center"/>
    </xf>
    <xf numFmtId="0" fontId="47" fillId="5" borderId="0" xfId="0" applyFont="1" applyFill="1" applyAlignment="1">
      <alignment vertical="center"/>
    </xf>
    <xf numFmtId="0" fontId="2" fillId="9" borderId="0" xfId="0" applyFont="1" applyFill="1"/>
    <xf numFmtId="0" fontId="21" fillId="9" borderId="0" xfId="0" applyFont="1" applyFill="1" applyAlignment="1">
      <alignment horizontal="left" vertical="top" indent="1"/>
    </xf>
    <xf numFmtId="0" fontId="21" fillId="9" borderId="0" xfId="0" applyFont="1" applyFill="1" applyAlignment="1">
      <alignment vertical="top" wrapText="1"/>
    </xf>
    <xf numFmtId="0" fontId="21" fillId="9" borderId="0" xfId="0" applyFont="1" applyFill="1" applyAlignment="1">
      <alignment vertical="top"/>
    </xf>
    <xf numFmtId="0" fontId="13" fillId="9" borderId="0" xfId="0" applyFont="1" applyFill="1"/>
    <xf numFmtId="0" fontId="16" fillId="9" borderId="100" xfId="0" applyFont="1" applyFill="1" applyBorder="1" applyAlignment="1">
      <alignment horizontal="left" vertical="top"/>
    </xf>
    <xf numFmtId="0" fontId="13" fillId="9" borderId="100" xfId="0" applyFont="1" applyFill="1" applyBorder="1" applyAlignment="1">
      <alignment horizontal="left" vertical="top"/>
    </xf>
    <xf numFmtId="0" fontId="20" fillId="9" borderId="100" xfId="0" applyFont="1" applyFill="1" applyBorder="1" applyAlignment="1">
      <alignment horizontal="left" vertical="top"/>
    </xf>
    <xf numFmtId="0" fontId="20" fillId="9" borderId="100" xfId="0" applyFont="1" applyFill="1" applyBorder="1" applyAlignment="1">
      <alignment horizontal="left" vertical="top" wrapText="1"/>
    </xf>
    <xf numFmtId="0" fontId="13" fillId="9" borderId="100" xfId="0" applyFont="1" applyFill="1" applyBorder="1"/>
    <xf numFmtId="0" fontId="21" fillId="9" borderId="0" xfId="0" applyFont="1" applyFill="1"/>
    <xf numFmtId="0" fontId="50" fillId="9" borderId="0" xfId="0" applyFont="1" applyFill="1" applyAlignment="1">
      <alignment horizontal="left" vertical="top"/>
    </xf>
    <xf numFmtId="0" fontId="15" fillId="9" borderId="0" xfId="0" applyFont="1" applyFill="1"/>
    <xf numFmtId="0" fontId="15" fillId="9" borderId="34" xfId="0" applyFont="1" applyFill="1" applyBorder="1" applyAlignment="1">
      <alignment horizontal="center" vertical="top"/>
    </xf>
    <xf numFmtId="0" fontId="21" fillId="9" borderId="31" xfId="0" applyFont="1" applyFill="1" applyBorder="1" applyAlignment="1">
      <alignment vertical="center"/>
    </xf>
    <xf numFmtId="0" fontId="21" fillId="9" borderId="0" xfId="0" applyFont="1" applyFill="1" applyAlignment="1">
      <alignment horizontal="left"/>
    </xf>
    <xf numFmtId="0" fontId="21" fillId="9" borderId="0" xfId="0" applyFont="1" applyFill="1" applyAlignment="1">
      <alignment horizontal="center"/>
    </xf>
    <xf numFmtId="0" fontId="50" fillId="9" borderId="0" xfId="0" applyFont="1" applyFill="1" applyAlignment="1">
      <alignment horizontal="left" vertical="center"/>
    </xf>
    <xf numFmtId="0" fontId="22" fillId="9" borderId="0" xfId="0" applyFont="1" applyFill="1" applyAlignment="1">
      <alignment horizontal="left"/>
    </xf>
    <xf numFmtId="0" fontId="15" fillId="9" borderId="0" xfId="0" applyFont="1" applyFill="1" applyAlignment="1">
      <alignment vertical="center"/>
    </xf>
    <xf numFmtId="0" fontId="21" fillId="9" borderId="0" xfId="0" applyFont="1" applyFill="1" applyAlignment="1">
      <alignment horizontal="center" vertical="top"/>
    </xf>
    <xf numFmtId="0" fontId="21" fillId="9" borderId="0" xfId="0" applyFont="1" applyFill="1" applyAlignment="1">
      <alignment horizontal="right"/>
    </xf>
    <xf numFmtId="0" fontId="48" fillId="9" borderId="0" xfId="0" applyFont="1" applyFill="1" applyAlignment="1">
      <alignment horizontal="left"/>
    </xf>
    <xf numFmtId="0" fontId="49" fillId="9" borderId="0" xfId="0" applyFont="1" applyFill="1"/>
    <xf numFmtId="0" fontId="49" fillId="9" borderId="0" xfId="0" applyFont="1" applyFill="1" applyAlignment="1">
      <alignment horizontal="left" vertical="top" wrapText="1"/>
    </xf>
    <xf numFmtId="0" fontId="15" fillId="0" borderId="0" xfId="0" applyFont="1" applyAlignment="1">
      <alignment horizontal="left" vertical="top" wrapText="1"/>
    </xf>
    <xf numFmtId="0" fontId="15" fillId="10" borderId="64" xfId="0" applyFont="1" applyFill="1" applyBorder="1" applyAlignment="1" applyProtection="1">
      <alignment horizontal="center" vertical="center" wrapText="1"/>
      <protection locked="0"/>
    </xf>
    <xf numFmtId="2" fontId="15" fillId="10" borderId="65" xfId="0" applyNumberFormat="1" applyFont="1" applyFill="1" applyBorder="1" applyAlignment="1" applyProtection="1">
      <alignment horizontal="center" vertical="center" wrapText="1"/>
      <protection locked="0"/>
    </xf>
    <xf numFmtId="0" fontId="15" fillId="10" borderId="67" xfId="0" applyFont="1" applyFill="1" applyBorder="1" applyAlignment="1" applyProtection="1">
      <alignment horizontal="center" vertical="center" wrapText="1"/>
      <protection locked="0"/>
    </xf>
    <xf numFmtId="2" fontId="15" fillId="10" borderId="59" xfId="0" applyNumberFormat="1" applyFont="1" applyFill="1" applyBorder="1" applyAlignment="1" applyProtection="1">
      <alignment horizontal="center" vertical="center" wrapText="1"/>
      <protection locked="0"/>
    </xf>
    <xf numFmtId="0" fontId="15" fillId="10" borderId="69" xfId="0" applyFont="1" applyFill="1" applyBorder="1" applyAlignment="1" applyProtection="1">
      <alignment horizontal="center" vertical="center" wrapText="1"/>
      <protection locked="0"/>
    </xf>
    <xf numFmtId="2" fontId="15" fillId="10" borderId="70" xfId="0" applyNumberFormat="1" applyFont="1" applyFill="1" applyBorder="1" applyAlignment="1" applyProtection="1">
      <alignment horizontal="center" vertical="center" wrapText="1"/>
      <protection locked="0"/>
    </xf>
    <xf numFmtId="0" fontId="15" fillId="10" borderId="68" xfId="0" applyFont="1" applyFill="1" applyBorder="1" applyAlignment="1" applyProtection="1">
      <alignment horizontal="center" vertical="center" wrapText="1"/>
      <protection locked="0"/>
    </xf>
    <xf numFmtId="0" fontId="21" fillId="9" borderId="25" xfId="0" applyFont="1" applyFill="1" applyBorder="1" applyAlignment="1">
      <alignment horizontal="left" vertical="center"/>
    </xf>
    <xf numFmtId="0" fontId="21" fillId="9" borderId="0" xfId="0" applyFont="1" applyFill="1" applyAlignment="1">
      <alignment horizontal="center" vertical="center"/>
    </xf>
    <xf numFmtId="0" fontId="47" fillId="6" borderId="50" xfId="0" applyFont="1" applyFill="1" applyBorder="1" applyAlignment="1">
      <alignment horizontal="centerContinuous" vertical="center" wrapText="1"/>
    </xf>
    <xf numFmtId="0" fontId="47" fillId="6" borderId="48"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15" fillId="7" borderId="53" xfId="0" applyFont="1" applyFill="1" applyBorder="1" applyAlignment="1">
      <alignment horizontal="center" vertical="center"/>
    </xf>
    <xf numFmtId="2" fontId="15" fillId="7" borderId="73" xfId="0" applyNumberFormat="1" applyFont="1" applyFill="1" applyBorder="1" applyAlignment="1">
      <alignment horizontal="center" vertical="center"/>
    </xf>
    <xf numFmtId="2" fontId="15" fillId="7" borderId="48" xfId="0" applyNumberFormat="1" applyFont="1" applyFill="1" applyBorder="1" applyAlignment="1">
      <alignment horizontal="center" vertical="center"/>
    </xf>
    <xf numFmtId="0" fontId="15" fillId="9" borderId="0" xfId="0" applyFont="1" applyFill="1" applyAlignment="1">
      <alignment horizontal="left" vertical="center"/>
    </xf>
    <xf numFmtId="0" fontId="15" fillId="7" borderId="27" xfId="0" applyFont="1" applyFill="1" applyBorder="1" applyAlignment="1">
      <alignment horizontal="center" vertical="center"/>
    </xf>
    <xf numFmtId="2" fontId="15" fillId="7" borderId="74" xfId="0" applyNumberFormat="1" applyFont="1" applyFill="1" applyBorder="1" applyAlignment="1">
      <alignment horizontal="center" vertical="center"/>
    </xf>
    <xf numFmtId="2" fontId="15" fillId="7" borderId="45" xfId="0" applyNumberFormat="1" applyFont="1" applyFill="1" applyBorder="1" applyAlignment="1">
      <alignment horizontal="center" vertical="center"/>
    </xf>
    <xf numFmtId="0" fontId="15" fillId="7" borderId="54" xfId="0" applyFont="1" applyFill="1" applyBorder="1" applyAlignment="1">
      <alignment horizontal="center" vertical="center"/>
    </xf>
    <xf numFmtId="2" fontId="15" fillId="7" borderId="75" xfId="0" applyNumberFormat="1" applyFont="1" applyFill="1" applyBorder="1" applyAlignment="1">
      <alignment horizontal="center" vertical="center"/>
    </xf>
    <xf numFmtId="2" fontId="15" fillId="7" borderId="46" xfId="0" applyNumberFormat="1" applyFont="1" applyFill="1" applyBorder="1" applyAlignment="1">
      <alignment horizontal="center" vertical="center"/>
    </xf>
    <xf numFmtId="0" fontId="48" fillId="9" borderId="0" xfId="0" applyFont="1" applyFill="1"/>
    <xf numFmtId="0" fontId="54" fillId="9" borderId="0" xfId="0" applyFont="1" applyFill="1" applyAlignment="1">
      <alignment horizontal="left" vertical="center"/>
    </xf>
    <xf numFmtId="0" fontId="47" fillId="6" borderId="48" xfId="0" applyFont="1" applyFill="1" applyBorder="1" applyAlignment="1">
      <alignment horizontal="center" wrapText="1"/>
    </xf>
    <xf numFmtId="2" fontId="15" fillId="7" borderId="53" xfId="0" applyNumberFormat="1" applyFont="1" applyFill="1" applyBorder="1" applyAlignment="1">
      <alignment horizontal="center" vertical="center"/>
    </xf>
    <xf numFmtId="2" fontId="15" fillId="7" borderId="27" xfId="0" applyNumberFormat="1" applyFont="1" applyFill="1" applyBorder="1" applyAlignment="1">
      <alignment horizontal="center" vertical="center"/>
    </xf>
    <xf numFmtId="2" fontId="15" fillId="7" borderId="54" xfId="0" applyNumberFormat="1" applyFont="1" applyFill="1" applyBorder="1" applyAlignment="1">
      <alignment horizontal="center" vertical="center"/>
    </xf>
    <xf numFmtId="0" fontId="15" fillId="9" borderId="0" xfId="0" applyFont="1" applyFill="1" applyAlignment="1">
      <alignment horizontal="center"/>
    </xf>
    <xf numFmtId="0" fontId="21" fillId="9" borderId="0" xfId="0" quotePrefix="1" applyFont="1" applyFill="1" applyAlignment="1">
      <alignment horizontal="left" vertical="center"/>
    </xf>
    <xf numFmtId="0" fontId="47" fillId="6" borderId="83" xfId="0" applyFont="1" applyFill="1" applyBorder="1" applyAlignment="1">
      <alignment horizontal="centerContinuous" vertical="center" wrapText="1"/>
    </xf>
    <xf numFmtId="0" fontId="52" fillId="6" borderId="84" xfId="0" applyFont="1" applyFill="1" applyBorder="1" applyAlignment="1">
      <alignment horizontal="centerContinuous" vertical="center" wrapText="1"/>
    </xf>
    <xf numFmtId="0" fontId="52" fillId="6" borderId="85" xfId="0" applyFont="1" applyFill="1" applyBorder="1" applyAlignment="1">
      <alignment horizontal="centerContinuous" vertical="center" wrapText="1"/>
    </xf>
    <xf numFmtId="0" fontId="21" fillId="9" borderId="0" xfId="0" quotePrefix="1" applyFont="1" applyFill="1"/>
    <xf numFmtId="0" fontId="20" fillId="9" borderId="0" xfId="0" quotePrefix="1" applyFont="1" applyFill="1"/>
    <xf numFmtId="0" fontId="20" fillId="9" borderId="0" xfId="0" applyFont="1" applyFill="1"/>
    <xf numFmtId="0" fontId="21" fillId="0" borderId="0" xfId="0" applyFont="1" applyAlignment="1">
      <alignment horizontal="left" vertical="top" wrapText="1"/>
    </xf>
    <xf numFmtId="0" fontId="22" fillId="0" borderId="0" xfId="0" applyFont="1" applyAlignment="1">
      <alignment horizontal="left"/>
    </xf>
    <xf numFmtId="0" fontId="50" fillId="11" borderId="0" xfId="0" applyFont="1" applyFill="1" applyAlignment="1">
      <alignment horizontal="left" vertical="center"/>
    </xf>
    <xf numFmtId="0" fontId="13" fillId="9" borderId="0" xfId="0" applyFont="1" applyFill="1" applyAlignment="1">
      <alignment vertical="center"/>
    </xf>
    <xf numFmtId="176" fontId="15" fillId="12" borderId="86" xfId="3" applyNumberFormat="1" applyFont="1" applyFill="1" applyBorder="1" applyAlignment="1" applyProtection="1">
      <alignment horizontal="center" vertical="center"/>
    </xf>
    <xf numFmtId="176" fontId="15" fillId="12" borderId="87" xfId="3" applyNumberFormat="1" applyFont="1" applyFill="1" applyBorder="1" applyAlignment="1" applyProtection="1">
      <alignment horizontal="center" vertical="center"/>
    </xf>
    <xf numFmtId="176" fontId="15" fillId="12" borderId="88" xfId="3" applyNumberFormat="1" applyFont="1" applyFill="1" applyBorder="1" applyAlignment="1" applyProtection="1">
      <alignment horizontal="center" vertical="center"/>
    </xf>
    <xf numFmtId="0" fontId="21" fillId="13" borderId="55" xfId="0" applyFont="1" applyFill="1" applyBorder="1" applyAlignment="1">
      <alignment horizontal="left" vertical="center"/>
    </xf>
    <xf numFmtId="0" fontId="21" fillId="13" borderId="56" xfId="0" applyFont="1" applyFill="1" applyBorder="1" applyAlignment="1">
      <alignment horizontal="center" vertical="center"/>
    </xf>
    <xf numFmtId="176" fontId="21" fillId="13" borderId="56" xfId="3" applyNumberFormat="1" applyFont="1" applyFill="1" applyBorder="1" applyAlignment="1" applyProtection="1">
      <alignment horizontal="center" vertical="center"/>
    </xf>
    <xf numFmtId="9" fontId="21" fillId="13" borderId="56" xfId="2" applyFont="1" applyFill="1" applyBorder="1" applyAlignment="1" applyProtection="1">
      <alignment horizontal="center" vertical="center"/>
    </xf>
    <xf numFmtId="176" fontId="21" fillId="13" borderId="57" xfId="0" applyNumberFormat="1" applyFont="1" applyFill="1" applyBorder="1" applyAlignment="1">
      <alignment horizontal="left" vertical="center"/>
    </xf>
    <xf numFmtId="0" fontId="21" fillId="13" borderId="58" xfId="0" applyFont="1" applyFill="1" applyBorder="1" applyAlignment="1">
      <alignment horizontal="left" vertical="center"/>
    </xf>
    <xf numFmtId="0" fontId="21" fillId="13" borderId="59" xfId="0" applyFont="1" applyFill="1" applyBorder="1" applyAlignment="1">
      <alignment horizontal="center" vertical="center"/>
    </xf>
    <xf numFmtId="176" fontId="21" fillId="13" borderId="59" xfId="3" applyNumberFormat="1" applyFont="1" applyFill="1" applyBorder="1" applyAlignment="1" applyProtection="1">
      <alignment horizontal="center" vertical="center"/>
    </xf>
    <xf numFmtId="9" fontId="21" fillId="13" borderId="59" xfId="2" applyFont="1" applyFill="1" applyBorder="1" applyAlignment="1" applyProtection="1">
      <alignment horizontal="center" vertical="center"/>
    </xf>
    <xf numFmtId="176" fontId="21" fillId="13" borderId="60" xfId="0" applyNumberFormat="1" applyFont="1" applyFill="1" applyBorder="1" applyAlignment="1">
      <alignment horizontal="left" vertical="center"/>
    </xf>
    <xf numFmtId="0" fontId="21" fillId="13" borderId="61" xfId="0" applyFont="1" applyFill="1" applyBorder="1" applyAlignment="1">
      <alignment horizontal="left" vertical="center"/>
    </xf>
    <xf numFmtId="0" fontId="21" fillId="13" borderId="62" xfId="0" applyFont="1" applyFill="1" applyBorder="1" applyAlignment="1">
      <alignment horizontal="center" vertical="center"/>
    </xf>
    <xf numFmtId="176" fontId="21" fillId="13" borderId="62" xfId="3" applyNumberFormat="1" applyFont="1" applyFill="1" applyBorder="1" applyAlignment="1" applyProtection="1">
      <alignment horizontal="center" vertical="center"/>
    </xf>
    <xf numFmtId="9" fontId="21" fillId="13" borderId="62" xfId="2" applyFont="1" applyFill="1" applyBorder="1" applyAlignment="1" applyProtection="1">
      <alignment horizontal="center" vertical="center"/>
    </xf>
    <xf numFmtId="176" fontId="21" fillId="13" borderId="63" xfId="0" applyNumberFormat="1" applyFont="1" applyFill="1" applyBorder="1" applyAlignment="1">
      <alignment horizontal="left" vertical="center"/>
    </xf>
    <xf numFmtId="0" fontId="15" fillId="10" borderId="64" xfId="0" applyFont="1" applyFill="1" applyBorder="1" applyAlignment="1" applyProtection="1">
      <alignment horizontal="left" vertical="center"/>
      <protection locked="0"/>
    </xf>
    <xf numFmtId="0" fontId="15" fillId="10" borderId="65" xfId="0" applyFont="1" applyFill="1" applyBorder="1" applyAlignment="1" applyProtection="1">
      <alignment horizontal="center" vertical="center"/>
      <protection locked="0"/>
    </xf>
    <xf numFmtId="176" fontId="15" fillId="10" borderId="65" xfId="3" applyNumberFormat="1" applyFont="1" applyFill="1" applyBorder="1" applyAlignment="1" applyProtection="1">
      <alignment horizontal="center" vertical="center"/>
      <protection locked="0"/>
    </xf>
    <xf numFmtId="9" fontId="15" fillId="10" borderId="66" xfId="2" applyFont="1" applyFill="1" applyBorder="1" applyAlignment="1" applyProtection="1">
      <alignment horizontal="center" vertical="center"/>
      <protection locked="0"/>
    </xf>
    <xf numFmtId="0" fontId="15" fillId="10" borderId="67" xfId="0" applyFont="1" applyFill="1" applyBorder="1" applyAlignment="1" applyProtection="1">
      <alignment horizontal="left" vertical="center"/>
      <protection locked="0"/>
    </xf>
    <xf numFmtId="0" fontId="15" fillId="10" borderId="59" xfId="0" applyFont="1" applyFill="1" applyBorder="1" applyAlignment="1" applyProtection="1">
      <alignment horizontal="center" vertical="center"/>
      <protection locked="0"/>
    </xf>
    <xf numFmtId="176" fontId="15" fillId="10" borderId="59" xfId="3" applyNumberFormat="1" applyFont="1" applyFill="1" applyBorder="1" applyAlignment="1" applyProtection="1">
      <alignment horizontal="center" vertical="center"/>
      <protection locked="0"/>
    </xf>
    <xf numFmtId="9" fontId="15" fillId="10" borderId="68" xfId="2" applyFont="1" applyFill="1" applyBorder="1" applyAlignment="1" applyProtection="1">
      <alignment horizontal="center" vertical="center"/>
      <protection locked="0"/>
    </xf>
    <xf numFmtId="0" fontId="15" fillId="10" borderId="69" xfId="0" applyFont="1" applyFill="1" applyBorder="1" applyAlignment="1" applyProtection="1">
      <alignment horizontal="left" vertical="center"/>
      <protection locked="0"/>
    </xf>
    <xf numFmtId="0" fontId="15" fillId="10" borderId="70" xfId="0" applyFont="1" applyFill="1" applyBorder="1" applyAlignment="1" applyProtection="1">
      <alignment horizontal="center" vertical="center"/>
      <protection locked="0"/>
    </xf>
    <xf numFmtId="176" fontId="15" fillId="10" borderId="70" xfId="3" applyNumberFormat="1" applyFont="1" applyFill="1" applyBorder="1" applyAlignment="1" applyProtection="1">
      <alignment horizontal="center" vertical="center"/>
      <protection locked="0"/>
    </xf>
    <xf numFmtId="9" fontId="15" fillId="10" borderId="71" xfId="2" applyFont="1" applyFill="1" applyBorder="1" applyAlignment="1" applyProtection="1">
      <alignment horizontal="center" vertical="center"/>
      <protection locked="0"/>
    </xf>
    <xf numFmtId="0" fontId="15" fillId="0" borderId="86" xfId="0" applyFont="1" applyBorder="1" applyAlignment="1">
      <alignment horizontal="left" vertical="center" wrapText="1"/>
    </xf>
    <xf numFmtId="169" fontId="15" fillId="0" borderId="87" xfId="0" applyNumberFormat="1" applyFont="1" applyBorder="1" applyAlignment="1">
      <alignment horizontal="left" vertical="center" wrapText="1"/>
    </xf>
    <xf numFmtId="0" fontId="15" fillId="0" borderId="56" xfId="0" applyFont="1" applyBorder="1" applyAlignment="1">
      <alignment horizontal="center" vertical="center" wrapText="1"/>
    </xf>
    <xf numFmtId="3" fontId="15" fillId="0" borderId="56" xfId="0" applyNumberFormat="1" applyFont="1" applyBorder="1" applyAlignment="1">
      <alignment horizontal="center" vertical="center"/>
    </xf>
    <xf numFmtId="177" fontId="15" fillId="0" borderId="56" xfId="3" applyNumberFormat="1" applyFont="1" applyFill="1" applyBorder="1" applyAlignment="1" applyProtection="1">
      <alignment horizontal="center" vertical="center"/>
    </xf>
    <xf numFmtId="178" fontId="15" fillId="0" borderId="56" xfId="0" applyNumberFormat="1" applyFont="1" applyBorder="1" applyAlignment="1">
      <alignment horizontal="center" vertical="center"/>
    </xf>
    <xf numFmtId="176" fontId="15" fillId="0" borderId="57" xfId="3" applyNumberFormat="1" applyFont="1" applyFill="1" applyBorder="1" applyAlignment="1" applyProtection="1">
      <alignment horizontal="center" vertical="center"/>
    </xf>
    <xf numFmtId="0" fontId="15" fillId="0" borderId="59" xfId="0" applyFont="1" applyBorder="1" applyAlignment="1">
      <alignment horizontal="center" vertical="center" wrapText="1"/>
    </xf>
    <xf numFmtId="3" fontId="15" fillId="0" borderId="59" xfId="0" applyNumberFormat="1" applyFont="1" applyBorder="1" applyAlignment="1">
      <alignment horizontal="center" vertical="center"/>
    </xf>
    <xf numFmtId="177" fontId="15" fillId="0" borderId="59" xfId="3" applyNumberFormat="1" applyFont="1" applyFill="1" applyBorder="1" applyAlignment="1" applyProtection="1">
      <alignment horizontal="center" vertical="center"/>
    </xf>
    <xf numFmtId="178" fontId="15" fillId="0" borderId="59" xfId="0" applyNumberFormat="1" applyFont="1" applyBorder="1" applyAlignment="1">
      <alignment horizontal="center" vertical="center"/>
    </xf>
    <xf numFmtId="176" fontId="15" fillId="0" borderId="60" xfId="3" applyNumberFormat="1" applyFont="1" applyFill="1" applyBorder="1" applyAlignment="1" applyProtection="1">
      <alignment horizontal="center" vertical="center"/>
    </xf>
    <xf numFmtId="0" fontId="15" fillId="0" borderId="62" xfId="0" applyFont="1" applyBorder="1" applyAlignment="1">
      <alignment horizontal="center" vertical="center" wrapText="1"/>
    </xf>
    <xf numFmtId="3" fontId="15" fillId="0" borderId="62" xfId="0" applyNumberFormat="1" applyFont="1" applyBorder="1" applyAlignment="1">
      <alignment horizontal="center" vertical="center"/>
    </xf>
    <xf numFmtId="177" fontId="15" fillId="0" borderId="62" xfId="3" applyNumberFormat="1" applyFont="1" applyFill="1" applyBorder="1" applyAlignment="1" applyProtection="1">
      <alignment horizontal="center" vertical="center"/>
    </xf>
    <xf numFmtId="178" fontId="15" fillId="0" borderId="62" xfId="0" applyNumberFormat="1" applyFont="1" applyBorder="1" applyAlignment="1">
      <alignment horizontal="center" vertical="center"/>
    </xf>
    <xf numFmtId="176" fontId="15" fillId="0" borderId="63" xfId="3" applyNumberFormat="1" applyFont="1" applyFill="1" applyBorder="1" applyAlignment="1" applyProtection="1">
      <alignment horizontal="center" vertical="center"/>
    </xf>
    <xf numFmtId="176" fontId="40" fillId="10" borderId="92" xfId="3" applyNumberFormat="1" applyFont="1" applyFill="1" applyBorder="1" applyAlignment="1" applyProtection="1">
      <alignment horizontal="center" vertical="center" wrapText="1"/>
      <protection locked="0"/>
    </xf>
    <xf numFmtId="176" fontId="40" fillId="10" borderId="93" xfId="3" applyNumberFormat="1" applyFont="1" applyFill="1" applyBorder="1" applyAlignment="1" applyProtection="1">
      <alignment horizontal="center" vertical="center" wrapText="1"/>
      <protection locked="0"/>
    </xf>
    <xf numFmtId="176" fontId="40" fillId="10" borderId="59" xfId="3" applyNumberFormat="1" applyFont="1" applyFill="1" applyBorder="1" applyAlignment="1" applyProtection="1">
      <alignment horizontal="center" vertical="center" wrapText="1"/>
      <protection locked="0"/>
    </xf>
    <xf numFmtId="176" fontId="40" fillId="10" borderId="95" xfId="3" applyNumberFormat="1" applyFont="1" applyFill="1" applyBorder="1" applyAlignment="1" applyProtection="1">
      <alignment horizontal="center" vertical="center" wrapText="1"/>
      <protection locked="0"/>
    </xf>
    <xf numFmtId="176" fontId="40" fillId="10" borderId="97" xfId="3" applyNumberFormat="1" applyFont="1" applyFill="1" applyBorder="1" applyAlignment="1" applyProtection="1">
      <alignment horizontal="center" vertical="center" wrapText="1"/>
      <protection locked="0"/>
    </xf>
    <xf numFmtId="176" fontId="40" fillId="10" borderId="98" xfId="3" applyNumberFormat="1" applyFont="1" applyFill="1" applyBorder="1" applyAlignment="1" applyProtection="1">
      <alignment horizontal="center" vertical="center" wrapText="1"/>
      <protection locked="0"/>
    </xf>
    <xf numFmtId="3" fontId="21" fillId="0" borderId="0" xfId="1" applyNumberFormat="1" applyFont="1" applyBorder="1" applyAlignment="1" applyProtection="1">
      <alignment horizontal="center" vertical="center"/>
    </xf>
    <xf numFmtId="0" fontId="13" fillId="11" borderId="0" xfId="0" applyFont="1" applyFill="1"/>
    <xf numFmtId="0" fontId="59" fillId="6" borderId="53" xfId="0" applyFont="1" applyFill="1" applyBorder="1" applyAlignment="1">
      <alignment horizontal="right" vertical="center" wrapText="1"/>
    </xf>
    <xf numFmtId="0" fontId="59" fillId="6" borderId="54" xfId="0" applyFont="1" applyFill="1" applyBorder="1" applyAlignment="1">
      <alignment horizontal="right" vertical="center" wrapText="1"/>
    </xf>
    <xf numFmtId="0" fontId="21" fillId="11" borderId="0" xfId="0" applyFont="1" applyFill="1" applyAlignment="1">
      <alignment horizontal="left" indent="2"/>
    </xf>
    <xf numFmtId="0" fontId="21" fillId="11" borderId="0" xfId="0" applyFont="1" applyFill="1"/>
    <xf numFmtId="0" fontId="15" fillId="0" borderId="86" xfId="0" applyFont="1" applyBorder="1" applyAlignment="1">
      <alignment horizontal="center" vertical="center"/>
    </xf>
    <xf numFmtId="0" fontId="21" fillId="11" borderId="0" xfId="0" applyFont="1" applyFill="1" applyAlignment="1">
      <alignment horizontal="left" vertical="center"/>
    </xf>
    <xf numFmtId="0" fontId="13" fillId="11" borderId="0" xfId="0" applyFont="1" applyFill="1" applyAlignment="1">
      <alignment horizontal="left"/>
    </xf>
    <xf numFmtId="0" fontId="50" fillId="11" borderId="0" xfId="0" applyFont="1" applyFill="1" applyAlignment="1">
      <alignment horizontal="left" vertical="top"/>
    </xf>
    <xf numFmtId="3" fontId="21" fillId="9" borderId="0" xfId="0" applyNumberFormat="1" applyFont="1" applyFill="1" applyAlignment="1">
      <alignment horizontal="left" vertical="center"/>
    </xf>
    <xf numFmtId="3" fontId="21" fillId="9" borderId="0" xfId="0" applyNumberFormat="1" applyFont="1" applyFill="1" applyAlignment="1">
      <alignment horizontal="center" vertical="center"/>
    </xf>
    <xf numFmtId="44" fontId="21" fillId="9" borderId="0" xfId="3" applyFont="1" applyFill="1" applyBorder="1" applyAlignment="1" applyProtection="1">
      <alignment horizontal="center" vertical="center"/>
    </xf>
    <xf numFmtId="0" fontId="15" fillId="0" borderId="0" xfId="0" applyFont="1" applyAlignment="1">
      <alignment vertical="center"/>
    </xf>
    <xf numFmtId="44" fontId="21" fillId="0" borderId="0" xfId="3" applyFont="1" applyBorder="1" applyAlignment="1" applyProtection="1">
      <alignment horizontal="center" vertical="center"/>
    </xf>
    <xf numFmtId="3" fontId="21" fillId="0" borderId="0" xfId="0" applyNumberFormat="1" applyFont="1" applyAlignment="1">
      <alignment horizontal="left" vertical="center"/>
    </xf>
    <xf numFmtId="0" fontId="27" fillId="9" borderId="0" xfId="0" applyFont="1" applyFill="1" applyAlignment="1">
      <alignment horizontal="left" vertical="center"/>
    </xf>
    <xf numFmtId="0" fontId="0" fillId="0" borderId="0" xfId="0" applyAlignment="1">
      <alignment horizontal="left" vertical="top" wrapText="1"/>
    </xf>
    <xf numFmtId="0" fontId="21" fillId="9" borderId="0" xfId="0" applyFont="1" applyFill="1" applyAlignment="1">
      <alignment horizontal="left" vertical="center"/>
    </xf>
    <xf numFmtId="0" fontId="22" fillId="9" borderId="0" xfId="0" applyFont="1" applyFill="1" applyAlignment="1">
      <alignment horizontal="left" vertical="center" wrapText="1"/>
    </xf>
    <xf numFmtId="0" fontId="21" fillId="9" borderId="0" xfId="0" applyFont="1" applyFill="1" applyAlignment="1">
      <alignment horizontal="left" vertical="center" wrapText="1"/>
    </xf>
    <xf numFmtId="0" fontId="21" fillId="9" borderId="0" xfId="0" applyFont="1" applyFill="1" applyAlignment="1">
      <alignment horizontal="left" vertical="top" wrapText="1"/>
    </xf>
    <xf numFmtId="0" fontId="47" fillId="6" borderId="50" xfId="0" applyFont="1" applyFill="1" applyBorder="1" applyAlignment="1">
      <alignment horizontal="center" vertical="center" wrapText="1"/>
    </xf>
    <xf numFmtId="0" fontId="47" fillId="6" borderId="52" xfId="0" applyFont="1" applyFill="1" applyBorder="1" applyAlignment="1">
      <alignment horizontal="center" vertical="center" wrapText="1"/>
    </xf>
    <xf numFmtId="0" fontId="47" fillId="6" borderId="89" xfId="0" applyFont="1" applyFill="1" applyBorder="1" applyAlignment="1">
      <alignment horizontal="center" vertical="center" wrapText="1"/>
    </xf>
    <xf numFmtId="0" fontId="47" fillId="6" borderId="90" xfId="0" applyFont="1" applyFill="1" applyBorder="1" applyAlignment="1">
      <alignment horizontal="center" vertical="center" wrapText="1"/>
    </xf>
    <xf numFmtId="0" fontId="47" fillId="6" borderId="47" xfId="0" applyFont="1" applyFill="1" applyBorder="1" applyAlignment="1">
      <alignment horizontal="center" vertical="center" wrapText="1"/>
    </xf>
    <xf numFmtId="37" fontId="28" fillId="0" borderId="0" xfId="0" applyNumberFormat="1" applyFont="1" applyAlignment="1">
      <alignment horizontal="center" vertical="center"/>
    </xf>
    <xf numFmtId="37" fontId="28" fillId="0" borderId="22" xfId="0" applyNumberFormat="1" applyFont="1" applyBorder="1" applyAlignment="1">
      <alignment horizontal="center" vertical="center"/>
    </xf>
    <xf numFmtId="0" fontId="17" fillId="0" borderId="0" xfId="0" applyFont="1" applyAlignment="1">
      <alignment horizontal="center" vertical="center"/>
    </xf>
    <xf numFmtId="0" fontId="17" fillId="0" borderId="22" xfId="0" applyFont="1" applyBorder="1" applyAlignment="1">
      <alignment horizontal="center" vertical="center"/>
    </xf>
    <xf numFmtId="0" fontId="21" fillId="0" borderId="0" xfId="0" applyFont="1" applyAlignment="1">
      <alignment horizontal="left" indent="2"/>
    </xf>
    <xf numFmtId="0" fontId="21" fillId="0" borderId="3" xfId="0" applyFont="1" applyBorder="1" applyAlignment="1">
      <alignment horizontal="center" vertical="center" wrapText="1"/>
    </xf>
    <xf numFmtId="0" fontId="6" fillId="0" borderId="1" xfId="0" applyFont="1" applyBorder="1" applyAlignment="1">
      <alignment horizontal="center"/>
    </xf>
    <xf numFmtId="0" fontId="58" fillId="0" borderId="0" xfId="0" applyFont="1" applyAlignment="1">
      <alignment horizontal="left" vertical="center" wrapText="1" shrinkToFit="1"/>
    </xf>
    <xf numFmtId="0" fontId="21" fillId="9" borderId="0" xfId="0" applyFont="1" applyFill="1" applyAlignment="1">
      <alignment horizontal="left" wrapText="1"/>
    </xf>
    <xf numFmtId="0" fontId="34" fillId="0" borderId="0" xfId="0" applyFont="1"/>
    <xf numFmtId="1" fontId="34" fillId="0" borderId="0" xfId="0" applyNumberFormat="1" applyFont="1" applyAlignment="1">
      <alignment horizontal="center"/>
    </xf>
    <xf numFmtId="0" fontId="55" fillId="9" borderId="0" xfId="0" applyFont="1" applyFill="1" applyAlignment="1">
      <alignment horizontal="left" vertical="center" wrapText="1" indent="1"/>
    </xf>
    <xf numFmtId="0" fontId="42" fillId="0" borderId="0" xfId="0" applyFont="1" applyAlignment="1">
      <alignment horizontal="left" vertical="top" wrapText="1"/>
    </xf>
    <xf numFmtId="2" fontId="67" fillId="0" borderId="3" xfId="1" applyNumberFormat="1" applyFont="1" applyBorder="1" applyAlignment="1">
      <alignment horizontal="center"/>
    </xf>
    <xf numFmtId="0" fontId="68" fillId="0" borderId="0" xfId="0" applyFont="1"/>
    <xf numFmtId="0" fontId="67" fillId="0" borderId="0" xfId="0" applyFont="1"/>
    <xf numFmtId="0" fontId="68" fillId="0" borderId="3" xfId="0" applyFont="1" applyBorder="1" applyAlignment="1">
      <alignment horizontal="center"/>
    </xf>
    <xf numFmtId="0" fontId="68" fillId="0" borderId="3" xfId="0" applyFont="1" applyBorder="1" applyAlignment="1">
      <alignment horizontal="left"/>
    </xf>
    <xf numFmtId="165" fontId="67" fillId="0" borderId="3" xfId="1" applyNumberFormat="1" applyFont="1" applyFill="1" applyBorder="1" applyAlignment="1">
      <alignment horizontal="center"/>
    </xf>
    <xf numFmtId="2" fontId="67" fillId="0" borderId="3" xfId="1" applyNumberFormat="1" applyFont="1" applyFill="1" applyBorder="1" applyAlignment="1">
      <alignment horizontal="center"/>
    </xf>
    <xf numFmtId="0" fontId="70" fillId="0" borderId="0" xfId="0" applyFont="1" applyAlignment="1">
      <alignment horizontal="left" vertical="center" wrapText="1"/>
    </xf>
    <xf numFmtId="0" fontId="69" fillId="0" borderId="0" xfId="0" applyFont="1" applyAlignment="1">
      <alignment horizontal="left" vertical="center" wrapText="1"/>
    </xf>
    <xf numFmtId="3" fontId="67" fillId="0" borderId="0" xfId="0" applyNumberFormat="1" applyFont="1" applyAlignment="1">
      <alignment horizontal="center"/>
    </xf>
    <xf numFmtId="0" fontId="71" fillId="0" borderId="0" xfId="0" applyFont="1"/>
    <xf numFmtId="1" fontId="67" fillId="0" borderId="0" xfId="0" applyNumberFormat="1" applyFont="1" applyAlignment="1">
      <alignment horizontal="center"/>
    </xf>
    <xf numFmtId="2" fontId="67" fillId="0" borderId="0" xfId="0" applyNumberFormat="1" applyFont="1" applyAlignment="1">
      <alignment horizontal="center"/>
    </xf>
    <xf numFmtId="3" fontId="67" fillId="0" borderId="0" xfId="0" applyNumberFormat="1" applyFont="1"/>
    <xf numFmtId="165" fontId="67" fillId="0" borderId="3" xfId="1" applyNumberFormat="1" applyFont="1" applyBorder="1" applyAlignment="1">
      <alignment horizontal="center"/>
    </xf>
    <xf numFmtId="0" fontId="73" fillId="0" borderId="0" xfId="0" applyFont="1" applyAlignment="1">
      <alignment horizontal="left" vertical="center" wrapText="1"/>
    </xf>
    <xf numFmtId="0" fontId="75" fillId="0" borderId="0" xfId="0" applyFont="1"/>
    <xf numFmtId="0" fontId="2" fillId="10" borderId="29" xfId="0" applyFont="1" applyFill="1" applyBorder="1" applyAlignment="1" applyProtection="1">
      <alignment horizontal="left" vertical="center"/>
      <protection locked="0"/>
    </xf>
    <xf numFmtId="0" fontId="2" fillId="10" borderId="32" xfId="0" applyFont="1" applyFill="1" applyBorder="1" applyAlignment="1" applyProtection="1">
      <alignment horizontal="left" vertical="center"/>
      <protection locked="0"/>
    </xf>
    <xf numFmtId="0" fontId="2" fillId="10" borderId="33" xfId="0" applyFont="1" applyFill="1" applyBorder="1" applyAlignment="1" applyProtection="1">
      <alignment horizontal="left" vertical="center"/>
      <protection locked="0"/>
    </xf>
    <xf numFmtId="179" fontId="21" fillId="10" borderId="29" xfId="0" applyNumberFormat="1" applyFont="1" applyFill="1" applyBorder="1" applyAlignment="1" applyProtection="1">
      <alignment horizontal="center" vertical="center"/>
      <protection locked="0"/>
    </xf>
    <xf numFmtId="179" fontId="21" fillId="10" borderId="32" xfId="0" applyNumberFormat="1" applyFont="1" applyFill="1" applyBorder="1" applyAlignment="1" applyProtection="1">
      <alignment horizontal="center" vertical="center"/>
      <protection locked="0"/>
    </xf>
    <xf numFmtId="179" fontId="21" fillId="10" borderId="33" xfId="0" applyNumberFormat="1" applyFont="1" applyFill="1" applyBorder="1" applyAlignment="1" applyProtection="1">
      <alignment horizontal="center" vertical="center"/>
      <protection locked="0"/>
    </xf>
    <xf numFmtId="0" fontId="21" fillId="9" borderId="0" xfId="0" applyFont="1" applyFill="1" applyAlignment="1">
      <alignment horizontal="left" vertical="center"/>
    </xf>
    <xf numFmtId="0" fontId="21" fillId="9" borderId="101" xfId="0" applyFont="1" applyFill="1" applyBorder="1" applyAlignment="1">
      <alignment horizontal="left" vertical="center"/>
    </xf>
    <xf numFmtId="0" fontId="21" fillId="9" borderId="0" xfId="0" applyFont="1" applyFill="1" applyAlignment="1">
      <alignment horizontal="left" vertical="center" wrapText="1"/>
    </xf>
    <xf numFmtId="0" fontId="21" fillId="9" borderId="0" xfId="0" applyFont="1" applyFill="1" applyAlignment="1">
      <alignment horizontal="left" vertical="top" wrapText="1"/>
    </xf>
    <xf numFmtId="0" fontId="15" fillId="10" borderId="29" xfId="0" applyFont="1" applyFill="1" applyBorder="1" applyAlignment="1" applyProtection="1">
      <alignment horizontal="left" vertical="center"/>
      <protection locked="0"/>
    </xf>
    <xf numFmtId="0" fontId="15" fillId="10" borderId="32" xfId="0" applyFont="1" applyFill="1" applyBorder="1" applyAlignment="1" applyProtection="1">
      <alignment horizontal="left" vertical="center"/>
      <protection locked="0"/>
    </xf>
    <xf numFmtId="0" fontId="15" fillId="10" borderId="33" xfId="0" applyFont="1" applyFill="1" applyBorder="1" applyAlignment="1" applyProtection="1">
      <alignment horizontal="left" vertical="center"/>
      <protection locked="0"/>
    </xf>
    <xf numFmtId="0" fontId="41" fillId="10" borderId="29" xfId="4" applyFill="1" applyBorder="1" applyAlignment="1" applyProtection="1">
      <alignment horizontal="left" vertical="top"/>
      <protection locked="0"/>
    </xf>
    <xf numFmtId="0" fontId="15" fillId="10" borderId="32" xfId="0" applyFont="1" applyFill="1" applyBorder="1" applyAlignment="1" applyProtection="1">
      <alignment horizontal="left" vertical="top"/>
      <protection locked="0"/>
    </xf>
    <xf numFmtId="0" fontId="15" fillId="10" borderId="33" xfId="0" applyFont="1" applyFill="1" applyBorder="1" applyAlignment="1" applyProtection="1">
      <alignment horizontal="left" vertical="top"/>
      <protection locked="0"/>
    </xf>
    <xf numFmtId="0" fontId="15" fillId="0" borderId="29" xfId="0" applyFont="1" applyBorder="1" applyAlignment="1" applyProtection="1">
      <alignment horizontal="left" vertical="center"/>
      <protection locked="0"/>
    </xf>
    <xf numFmtId="0" fontId="15" fillId="0" borderId="32" xfId="0" applyFont="1" applyBorder="1" applyAlignment="1" applyProtection="1">
      <alignment horizontal="left" vertical="center"/>
      <protection locked="0"/>
    </xf>
    <xf numFmtId="0" fontId="15" fillId="0" borderId="33" xfId="0" applyFont="1" applyBorder="1" applyAlignment="1" applyProtection="1">
      <alignment horizontal="left" vertical="center"/>
      <protection locked="0"/>
    </xf>
    <xf numFmtId="0" fontId="21" fillId="9" borderId="0" xfId="0" applyFont="1" applyFill="1" applyAlignment="1">
      <alignment horizontal="justify" vertical="top" wrapText="1"/>
    </xf>
    <xf numFmtId="169" fontId="15" fillId="10" borderId="29" xfId="0" applyNumberFormat="1" applyFont="1" applyFill="1" applyBorder="1" applyAlignment="1" applyProtection="1">
      <alignment horizontal="left" vertical="center"/>
      <protection locked="0"/>
    </xf>
    <xf numFmtId="169" fontId="15" fillId="10" borderId="32" xfId="0" applyNumberFormat="1" applyFont="1" applyFill="1" applyBorder="1" applyAlignment="1" applyProtection="1">
      <alignment horizontal="left" vertical="center"/>
      <protection locked="0"/>
    </xf>
    <xf numFmtId="169" fontId="15" fillId="10" borderId="33" xfId="0" applyNumberFormat="1" applyFont="1" applyFill="1" applyBorder="1" applyAlignment="1" applyProtection="1">
      <alignment horizontal="left" vertical="center"/>
      <protection locked="0"/>
    </xf>
    <xf numFmtId="0" fontId="72" fillId="9" borderId="0" xfId="0" applyFont="1" applyFill="1" applyAlignment="1">
      <alignment horizontal="left" vertical="center" wrapText="1" indent="1"/>
    </xf>
    <xf numFmtId="0" fontId="21" fillId="9" borderId="102" xfId="0" applyFont="1" applyFill="1" applyBorder="1" applyAlignment="1">
      <alignment horizontal="left" vertical="center" wrapText="1" indent="1"/>
    </xf>
    <xf numFmtId="0" fontId="21" fillId="9" borderId="31" xfId="0" applyFont="1" applyFill="1" applyBorder="1" applyAlignment="1">
      <alignment horizontal="left" vertical="center" wrapText="1" indent="1"/>
    </xf>
    <xf numFmtId="0" fontId="15" fillId="10" borderId="29" xfId="0" applyFont="1" applyFill="1" applyBorder="1" applyAlignment="1" applyProtection="1">
      <alignment horizontal="left" vertical="center" wrapText="1"/>
      <protection locked="0"/>
    </xf>
    <xf numFmtId="0" fontId="15" fillId="10" borderId="32" xfId="0" applyFont="1" applyFill="1" applyBorder="1" applyAlignment="1" applyProtection="1">
      <alignment horizontal="left" vertical="center" wrapText="1"/>
      <protection locked="0"/>
    </xf>
    <xf numFmtId="0" fontId="15" fillId="10" borderId="33" xfId="0" applyFont="1" applyFill="1" applyBorder="1" applyAlignment="1" applyProtection="1">
      <alignment horizontal="left" vertical="center" wrapText="1"/>
      <protection locked="0"/>
    </xf>
    <xf numFmtId="0" fontId="72" fillId="9" borderId="102" xfId="0" applyFont="1" applyFill="1" applyBorder="1" applyAlignment="1">
      <alignment horizontal="left" vertical="center" wrapText="1" indent="1"/>
    </xf>
    <xf numFmtId="0" fontId="72" fillId="9" borderId="31" xfId="0" applyFont="1" applyFill="1" applyBorder="1" applyAlignment="1">
      <alignment horizontal="left" vertical="center" wrapText="1" indent="1"/>
    </xf>
    <xf numFmtId="0" fontId="72" fillId="9" borderId="0" xfId="0" applyFont="1" applyFill="1" applyAlignment="1">
      <alignment horizontal="left" vertical="center" wrapText="1"/>
    </xf>
    <xf numFmtId="0" fontId="58" fillId="0" borderId="0" xfId="0" applyFont="1" applyAlignment="1">
      <alignment horizontal="left" vertical="center" wrapText="1" shrinkToFit="1"/>
    </xf>
    <xf numFmtId="0" fontId="65" fillId="0" borderId="0" xfId="0" applyFont="1" applyAlignment="1">
      <alignment horizontal="left" vertical="center" wrapText="1" shrinkToFit="1"/>
    </xf>
    <xf numFmtId="2" fontId="21" fillId="10" borderId="35" xfId="0" applyNumberFormat="1" applyFont="1" applyFill="1" applyBorder="1" applyAlignment="1" applyProtection="1">
      <alignment horizontal="center" vertical="center"/>
      <protection locked="0"/>
    </xf>
    <xf numFmtId="2" fontId="21" fillId="10" borderId="37" xfId="0" applyNumberFormat="1" applyFont="1" applyFill="1" applyBorder="1" applyAlignment="1" applyProtection="1">
      <alignment horizontal="center" vertical="center"/>
      <protection locked="0"/>
    </xf>
    <xf numFmtId="2" fontId="21" fillId="10" borderId="36" xfId="0" applyNumberFormat="1" applyFont="1" applyFill="1" applyBorder="1" applyAlignment="1" applyProtection="1">
      <alignment horizontal="center" vertical="center"/>
      <protection locked="0"/>
    </xf>
    <xf numFmtId="0" fontId="21" fillId="9" borderId="0" xfId="0" applyFont="1" applyFill="1" applyAlignment="1">
      <alignment horizontal="left" vertical="center" wrapText="1" indent="1"/>
    </xf>
    <xf numFmtId="0" fontId="21" fillId="10" borderId="29" xfId="0" applyFont="1" applyFill="1" applyBorder="1" applyAlignment="1" applyProtection="1">
      <alignment horizontal="center" vertical="center"/>
      <protection locked="0"/>
    </xf>
    <xf numFmtId="0" fontId="21" fillId="10" borderId="32" xfId="0" applyFont="1" applyFill="1" applyBorder="1" applyAlignment="1" applyProtection="1">
      <alignment horizontal="center" vertical="center"/>
      <protection locked="0"/>
    </xf>
    <xf numFmtId="0" fontId="21" fillId="10" borderId="33" xfId="0" applyFont="1" applyFill="1" applyBorder="1" applyAlignment="1" applyProtection="1">
      <alignment horizontal="center" vertical="center"/>
      <protection locked="0"/>
    </xf>
    <xf numFmtId="2" fontId="21" fillId="10" borderId="35" xfId="0" applyNumberFormat="1" applyFont="1" applyFill="1" applyBorder="1" applyAlignment="1" applyProtection="1">
      <alignment horizontal="center" vertical="center" wrapText="1"/>
      <protection locked="0"/>
    </xf>
    <xf numFmtId="2" fontId="21" fillId="10" borderId="37" xfId="0" applyNumberFormat="1" applyFont="1" applyFill="1" applyBorder="1" applyAlignment="1" applyProtection="1">
      <alignment horizontal="center" vertical="center" wrapText="1"/>
      <protection locked="0"/>
    </xf>
    <xf numFmtId="2" fontId="21" fillId="10" borderId="36" xfId="0" applyNumberFormat="1" applyFont="1" applyFill="1" applyBorder="1" applyAlignment="1" applyProtection="1">
      <alignment horizontal="center" vertical="center" wrapText="1"/>
      <protection locked="0"/>
    </xf>
    <xf numFmtId="0" fontId="60" fillId="9" borderId="99" xfId="0" applyFont="1" applyFill="1" applyBorder="1" applyAlignment="1">
      <alignment horizontal="center"/>
    </xf>
    <xf numFmtId="0" fontId="47" fillId="6" borderId="50" xfId="0" applyFont="1" applyFill="1" applyBorder="1" applyAlignment="1">
      <alignment horizontal="center" vertical="center" wrapText="1"/>
    </xf>
    <xf numFmtId="0" fontId="47" fillId="6" borderId="52" xfId="0" applyFont="1" applyFill="1" applyBorder="1" applyAlignment="1">
      <alignment horizontal="center" vertical="center" wrapText="1"/>
    </xf>
    <xf numFmtId="0" fontId="47" fillId="6" borderId="49" xfId="0" applyFont="1" applyFill="1" applyBorder="1" applyAlignment="1">
      <alignment horizontal="center" vertical="center" wrapText="1"/>
    </xf>
    <xf numFmtId="0" fontId="47" fillId="6" borderId="51" xfId="0" applyFont="1" applyFill="1" applyBorder="1" applyAlignment="1">
      <alignment horizontal="center" vertical="center" wrapText="1"/>
    </xf>
    <xf numFmtId="0" fontId="49" fillId="9" borderId="0" xfId="0" applyFont="1" applyFill="1" applyAlignment="1">
      <alignment horizontal="justify" vertical="center" wrapText="1"/>
    </xf>
    <xf numFmtId="0" fontId="40" fillId="10" borderId="35" xfId="0" applyFont="1" applyFill="1" applyBorder="1" applyAlignment="1" applyProtection="1">
      <alignment horizontal="center" vertical="center" wrapText="1"/>
      <protection locked="0"/>
    </xf>
    <xf numFmtId="0" fontId="40" fillId="10" borderId="36" xfId="0" applyFont="1" applyFill="1" applyBorder="1" applyAlignment="1" applyProtection="1">
      <alignment horizontal="center" vertical="center" wrapText="1"/>
      <protection locked="0"/>
    </xf>
    <xf numFmtId="2" fontId="15" fillId="7" borderId="8" xfId="0" applyNumberFormat="1" applyFont="1" applyFill="1" applyBorder="1" applyAlignment="1">
      <alignment horizontal="center" vertical="center"/>
    </xf>
    <xf numFmtId="2" fontId="15" fillId="7" borderId="7" xfId="0" applyNumberFormat="1" applyFont="1" applyFill="1" applyBorder="1" applyAlignment="1">
      <alignment horizontal="center" vertical="center"/>
    </xf>
    <xf numFmtId="0" fontId="21" fillId="9" borderId="0" xfId="0" applyFont="1" applyFill="1" applyAlignment="1">
      <alignment horizontal="left" wrapText="1"/>
    </xf>
    <xf numFmtId="0" fontId="21" fillId="9" borderId="41" xfId="0" applyFont="1" applyFill="1" applyBorder="1" applyAlignment="1">
      <alignment horizontal="left" wrapText="1"/>
    </xf>
    <xf numFmtId="2" fontId="15" fillId="10" borderId="29" xfId="0" applyNumberFormat="1" applyFont="1" applyFill="1" applyBorder="1" applyAlignment="1" applyProtection="1">
      <alignment horizontal="center" vertical="center"/>
      <protection locked="0"/>
    </xf>
    <xf numFmtId="2" fontId="15" fillId="10" borderId="33" xfId="0" applyNumberFormat="1" applyFont="1" applyFill="1" applyBorder="1" applyAlignment="1" applyProtection="1">
      <alignment horizontal="center" vertical="center"/>
      <protection locked="0"/>
    </xf>
    <xf numFmtId="0" fontId="21" fillId="0" borderId="76" xfId="0" quotePrefix="1" applyFont="1" applyBorder="1" applyAlignment="1" applyProtection="1">
      <alignment horizontal="left" vertical="top" wrapText="1"/>
      <protection locked="0"/>
    </xf>
    <xf numFmtId="0" fontId="21" fillId="0" borderId="77" xfId="0" quotePrefix="1" applyFont="1" applyBorder="1" applyAlignment="1" applyProtection="1">
      <alignment horizontal="left" vertical="top" wrapText="1"/>
      <protection locked="0"/>
    </xf>
    <xf numFmtId="0" fontId="21" fillId="0" borderId="78" xfId="0" quotePrefix="1" applyFont="1" applyBorder="1" applyAlignment="1" applyProtection="1">
      <alignment horizontal="left" vertical="top" wrapText="1"/>
      <protection locked="0"/>
    </xf>
    <xf numFmtId="0" fontId="21" fillId="0" borderId="72" xfId="0" quotePrefix="1" applyFont="1" applyBorder="1" applyAlignment="1" applyProtection="1">
      <alignment horizontal="left" vertical="top" wrapText="1"/>
      <protection locked="0"/>
    </xf>
    <xf numFmtId="0" fontId="21" fillId="0" borderId="0" xfId="0" quotePrefix="1" applyFont="1" applyAlignment="1" applyProtection="1">
      <alignment horizontal="left" vertical="top" wrapText="1"/>
      <protection locked="0"/>
    </xf>
    <xf numFmtId="0" fontId="21" fillId="0" borderId="79" xfId="0" quotePrefix="1" applyFont="1" applyBorder="1" applyAlignment="1" applyProtection="1">
      <alignment horizontal="left" vertical="top" wrapText="1"/>
      <protection locked="0"/>
    </xf>
    <xf numFmtId="0" fontId="21" fillId="0" borderId="80" xfId="0" quotePrefix="1" applyFont="1" applyBorder="1" applyAlignment="1" applyProtection="1">
      <alignment horizontal="left" vertical="top" wrapText="1"/>
      <protection locked="0"/>
    </xf>
    <xf numFmtId="0" fontId="21" fillId="0" borderId="81" xfId="0" quotePrefix="1" applyFont="1" applyBorder="1" applyAlignment="1" applyProtection="1">
      <alignment horizontal="left" vertical="top" wrapText="1"/>
      <protection locked="0"/>
    </xf>
    <xf numFmtId="0" fontId="21" fillId="0" borderId="82" xfId="0" quotePrefix="1" applyFont="1" applyBorder="1" applyAlignment="1" applyProtection="1">
      <alignment horizontal="left" vertical="top" wrapText="1"/>
      <protection locked="0"/>
    </xf>
    <xf numFmtId="2" fontId="2" fillId="10" borderId="29" xfId="0" applyNumberFormat="1" applyFont="1" applyFill="1" applyBorder="1" applyAlignment="1" applyProtection="1">
      <alignment horizontal="center" vertical="center"/>
      <protection locked="0"/>
    </xf>
    <xf numFmtId="2" fontId="2" fillId="10" borderId="33" xfId="0" applyNumberFormat="1" applyFont="1" applyFill="1" applyBorder="1" applyAlignment="1" applyProtection="1">
      <alignment horizontal="center" vertical="center"/>
      <protection locked="0"/>
    </xf>
    <xf numFmtId="0" fontId="22" fillId="9" borderId="0" xfId="0" applyFont="1" applyFill="1" applyAlignment="1">
      <alignment horizontal="left" vertical="center" wrapText="1"/>
    </xf>
    <xf numFmtId="0" fontId="15" fillId="10" borderId="29" xfId="0" applyFont="1" applyFill="1" applyBorder="1" applyAlignment="1" applyProtection="1">
      <alignment horizontal="center" vertical="center"/>
      <protection locked="0"/>
    </xf>
    <xf numFmtId="0" fontId="15" fillId="10" borderId="38" xfId="0" applyFont="1" applyFill="1" applyBorder="1" applyAlignment="1" applyProtection="1">
      <alignment horizontal="center" vertical="center"/>
      <protection locked="0"/>
    </xf>
    <xf numFmtId="0" fontId="21" fillId="10" borderId="35" xfId="0" applyFont="1" applyFill="1" applyBorder="1" applyAlignment="1" applyProtection="1">
      <alignment horizontal="left" vertical="center"/>
      <protection locked="0"/>
    </xf>
    <xf numFmtId="0" fontId="21" fillId="10" borderId="37" xfId="0" applyFont="1" applyFill="1" applyBorder="1" applyAlignment="1" applyProtection="1">
      <alignment horizontal="left" vertical="center"/>
      <protection locked="0"/>
    </xf>
    <xf numFmtId="0" fontId="21" fillId="10" borderId="36" xfId="0" applyFont="1" applyFill="1" applyBorder="1" applyAlignment="1" applyProtection="1">
      <alignment horizontal="left" vertical="center"/>
      <protection locked="0"/>
    </xf>
    <xf numFmtId="0" fontId="74" fillId="0" borderId="0" xfId="0" applyFont="1" applyAlignment="1">
      <alignment horizontal="left" vertical="center" wrapText="1"/>
    </xf>
    <xf numFmtId="0" fontId="21" fillId="9" borderId="0" xfId="0" applyFont="1" applyFill="1" applyAlignment="1">
      <alignment wrapText="1"/>
    </xf>
    <xf numFmtId="0" fontId="47" fillId="6" borderId="53" xfId="0" applyFont="1" applyFill="1" applyBorder="1" applyAlignment="1">
      <alignment horizontal="left" vertical="center" wrapText="1" indent="1"/>
    </xf>
    <xf numFmtId="0" fontId="15" fillId="0" borderId="58" xfId="0" applyFont="1" applyBorder="1" applyAlignment="1">
      <alignment horizontal="left" vertical="center" wrapText="1"/>
    </xf>
    <xf numFmtId="0" fontId="15" fillId="0" borderId="59" xfId="0" applyFont="1" applyBorder="1" applyAlignment="1">
      <alignment horizontal="left" vertical="center" wrapText="1"/>
    </xf>
    <xf numFmtId="0" fontId="15" fillId="0" borderId="58" xfId="0" applyFont="1" applyBorder="1" applyAlignment="1">
      <alignment horizontal="left" vertical="center"/>
    </xf>
    <xf numFmtId="0" fontId="15" fillId="0" borderId="59" xfId="0" applyFont="1" applyBorder="1" applyAlignment="1">
      <alignment horizontal="left" vertical="center"/>
    </xf>
    <xf numFmtId="0" fontId="15" fillId="0" borderId="86" xfId="0" applyFont="1" applyBorder="1" applyAlignment="1">
      <alignment horizontal="left" vertical="center" wrapText="1" indent="1"/>
    </xf>
    <xf numFmtId="0" fontId="15" fillId="0" borderId="87" xfId="0" applyFont="1" applyBorder="1" applyAlignment="1">
      <alignment horizontal="left" vertical="center" wrapText="1" indent="1"/>
    </xf>
    <xf numFmtId="2" fontId="15" fillId="0" borderId="86" xfId="0" applyNumberFormat="1" applyFont="1" applyBorder="1" applyAlignment="1">
      <alignment horizontal="left" vertical="center" indent="1"/>
    </xf>
    <xf numFmtId="2" fontId="15" fillId="0" borderId="87" xfId="0" applyNumberFormat="1" applyFont="1" applyBorder="1" applyAlignment="1">
      <alignment horizontal="left" vertical="center" indent="1"/>
    </xf>
    <xf numFmtId="0" fontId="47" fillId="6" borderId="27" xfId="0" applyFont="1" applyFill="1" applyBorder="1" applyAlignment="1">
      <alignment horizontal="left" vertical="center" wrapText="1" indent="1"/>
    </xf>
    <xf numFmtId="0" fontId="47" fillId="6" borderId="54" xfId="0" applyFont="1" applyFill="1" applyBorder="1" applyAlignment="1">
      <alignment horizontal="left" vertical="center" wrapText="1" indent="1"/>
    </xf>
    <xf numFmtId="0" fontId="15" fillId="0" borderId="87" xfId="0" applyFont="1" applyBorder="1" applyAlignment="1">
      <alignment horizontal="left" vertical="top" wrapText="1" indent="1"/>
    </xf>
    <xf numFmtId="37" fontId="58" fillId="0" borderId="0" xfId="0" applyNumberFormat="1" applyFont="1" applyAlignment="1">
      <alignment horizontal="left" vertical="top" wrapText="1"/>
    </xf>
    <xf numFmtId="0" fontId="47" fillId="6" borderId="90" xfId="0" applyFont="1" applyFill="1" applyBorder="1" applyAlignment="1">
      <alignment horizontal="center" vertical="center" wrapText="1"/>
    </xf>
    <xf numFmtId="0" fontId="47" fillId="6" borderId="47" xfId="0" applyFont="1" applyFill="1" applyBorder="1" applyAlignment="1">
      <alignment horizontal="center" vertical="center" wrapText="1"/>
    </xf>
    <xf numFmtId="0" fontId="47" fillId="6" borderId="89" xfId="0" applyFont="1" applyFill="1" applyBorder="1" applyAlignment="1">
      <alignment horizontal="center" vertical="center" wrapText="1"/>
    </xf>
    <xf numFmtId="0" fontId="21" fillId="0" borderId="29" xfId="0" applyFont="1" applyBorder="1" applyAlignment="1" applyProtection="1">
      <alignment horizontal="left" vertical="center"/>
      <protection locked="0"/>
    </xf>
    <xf numFmtId="0" fontId="21" fillId="0" borderId="32" xfId="0" applyFont="1" applyBorder="1" applyAlignment="1" applyProtection="1">
      <alignment horizontal="left" vertical="center"/>
      <protection locked="0"/>
    </xf>
    <xf numFmtId="0" fontId="21" fillId="0" borderId="33" xfId="0" applyFont="1" applyBorder="1" applyAlignment="1" applyProtection="1">
      <alignment horizontal="left" vertical="center"/>
      <protection locked="0"/>
    </xf>
    <xf numFmtId="179" fontId="21" fillId="10" borderId="29" xfId="0" applyNumberFormat="1" applyFont="1" applyFill="1" applyBorder="1" applyAlignment="1" applyProtection="1">
      <alignment horizontal="center" vertical="top"/>
      <protection locked="0"/>
    </xf>
    <xf numFmtId="179" fontId="21" fillId="10" borderId="32" xfId="0" applyNumberFormat="1" applyFont="1" applyFill="1" applyBorder="1" applyAlignment="1" applyProtection="1">
      <alignment horizontal="center" vertical="top"/>
      <protection locked="0"/>
    </xf>
    <xf numFmtId="179" fontId="21" fillId="10" borderId="33" xfId="0" applyNumberFormat="1" applyFont="1" applyFill="1" applyBorder="1" applyAlignment="1" applyProtection="1">
      <alignment horizontal="center" vertical="top"/>
      <protection locked="0"/>
    </xf>
    <xf numFmtId="3" fontId="21" fillId="9" borderId="0" xfId="0" applyNumberFormat="1" applyFont="1" applyFill="1" applyAlignment="1">
      <alignment horizontal="justify" vertical="center" wrapText="1"/>
    </xf>
    <xf numFmtId="3" fontId="21" fillId="9" borderId="0" xfId="0" applyNumberFormat="1" applyFont="1" applyFill="1" applyAlignment="1">
      <alignment horizontal="left" vertical="center" wrapText="1"/>
    </xf>
    <xf numFmtId="0" fontId="15" fillId="0" borderId="55" xfId="0" applyFont="1" applyBorder="1" applyAlignment="1">
      <alignment horizontal="left" vertical="center" wrapText="1"/>
    </xf>
    <xf numFmtId="0" fontId="15" fillId="0" borderId="56" xfId="0" applyFont="1" applyBorder="1" applyAlignment="1">
      <alignment horizontal="left" vertical="center" wrapText="1"/>
    </xf>
    <xf numFmtId="49" fontId="40" fillId="10" borderId="92" xfId="0" applyNumberFormat="1" applyFont="1" applyFill="1" applyBorder="1" applyAlignment="1" applyProtection="1">
      <alignment horizontal="left" vertical="center" wrapText="1"/>
      <protection locked="0"/>
    </xf>
    <xf numFmtId="49" fontId="40" fillId="10" borderId="59" xfId="0" applyNumberFormat="1" applyFont="1" applyFill="1" applyBorder="1" applyAlignment="1" applyProtection="1">
      <alignment horizontal="left" vertical="center" wrapText="1"/>
      <protection locked="0"/>
    </xf>
    <xf numFmtId="49" fontId="40" fillId="10" borderId="96" xfId="0" applyNumberFormat="1" applyFont="1" applyFill="1" applyBorder="1" applyAlignment="1" applyProtection="1">
      <alignment horizontal="left" vertical="center" wrapText="1"/>
      <protection locked="0"/>
    </xf>
    <xf numFmtId="49" fontId="40" fillId="10" borderId="97" xfId="0" applyNumberFormat="1" applyFont="1" applyFill="1" applyBorder="1" applyAlignment="1" applyProtection="1">
      <alignment horizontal="left" vertical="center" wrapText="1"/>
      <protection locked="0"/>
    </xf>
    <xf numFmtId="37" fontId="58" fillId="0" borderId="0" xfId="0" applyNumberFormat="1" applyFont="1" applyAlignment="1">
      <alignment horizontal="left" vertical="center" wrapText="1"/>
    </xf>
    <xf numFmtId="0" fontId="15" fillId="0" borderId="61" xfId="0" applyFont="1" applyBorder="1" applyAlignment="1">
      <alignment horizontal="left" vertical="center"/>
    </xf>
    <xf numFmtId="0" fontId="15" fillId="0" borderId="62" xfId="0" applyFont="1" applyBorder="1" applyAlignment="1">
      <alignment horizontal="left" vertical="center"/>
    </xf>
    <xf numFmtId="0" fontId="30" fillId="11" borderId="99" xfId="0" applyFont="1" applyFill="1" applyBorder="1" applyAlignment="1">
      <alignment horizontal="center" vertical="top"/>
    </xf>
    <xf numFmtId="0" fontId="61" fillId="0" borderId="0" xfId="0" applyFont="1" applyAlignment="1">
      <alignment horizontal="left" vertical="top" wrapText="1"/>
    </xf>
    <xf numFmtId="0" fontId="53" fillId="0" borderId="0" xfId="0" applyFont="1" applyAlignment="1">
      <alignment horizontal="left" vertical="top" wrapText="1"/>
    </xf>
    <xf numFmtId="0" fontId="21" fillId="9" borderId="0" xfId="0" applyFont="1" applyFill="1" applyAlignment="1">
      <alignment vertical="center" wrapText="1"/>
    </xf>
    <xf numFmtId="49" fontId="40" fillId="10" borderId="91" xfId="0" applyNumberFormat="1" applyFont="1" applyFill="1" applyBorder="1" applyAlignment="1" applyProtection="1">
      <alignment horizontal="left" vertical="center" wrapText="1"/>
      <protection locked="0"/>
    </xf>
    <xf numFmtId="49" fontId="40" fillId="10" borderId="94" xfId="0" applyNumberFormat="1" applyFont="1" applyFill="1" applyBorder="1" applyAlignment="1" applyProtection="1">
      <alignment horizontal="left" vertical="center" wrapText="1"/>
      <protection locked="0"/>
    </xf>
    <xf numFmtId="2" fontId="16" fillId="0" borderId="9" xfId="0" applyNumberFormat="1" applyFont="1" applyBorder="1" applyAlignment="1">
      <alignment horizontal="left" vertical="top"/>
    </xf>
    <xf numFmtId="2" fontId="16" fillId="0" borderId="10" xfId="0" applyNumberFormat="1" applyFont="1" applyBorder="1" applyAlignment="1">
      <alignment horizontal="left" vertical="top"/>
    </xf>
    <xf numFmtId="168" fontId="21" fillId="0" borderId="9" xfId="0" applyNumberFormat="1" applyFont="1" applyBorder="1" applyAlignment="1">
      <alignment horizontal="left" vertical="top"/>
    </xf>
    <xf numFmtId="168" fontId="21" fillId="0" borderId="10" xfId="0" applyNumberFormat="1" applyFont="1" applyBorder="1" applyAlignment="1">
      <alignment horizontal="left" vertical="top"/>
    </xf>
    <xf numFmtId="37" fontId="23" fillId="0" borderId="16" xfId="0" applyNumberFormat="1" applyFont="1" applyBorder="1" applyAlignment="1">
      <alignment horizontal="center" vertical="center" wrapText="1"/>
    </xf>
    <xf numFmtId="37" fontId="23" fillId="0" borderId="17" xfId="0" applyNumberFormat="1" applyFont="1" applyBorder="1" applyAlignment="1">
      <alignment horizontal="center" vertical="center" wrapText="1"/>
    </xf>
    <xf numFmtId="37" fontId="23" fillId="0" borderId="0" xfId="0" applyNumberFormat="1" applyFont="1" applyAlignment="1">
      <alignment horizontal="center" vertical="center" wrapText="1"/>
    </xf>
    <xf numFmtId="37" fontId="23" fillId="0" borderId="22" xfId="0" applyNumberFormat="1" applyFont="1" applyBorder="1" applyAlignment="1">
      <alignment horizontal="center" vertical="center" wrapText="1"/>
    </xf>
    <xf numFmtId="37" fontId="23" fillId="0" borderId="0" xfId="0" applyNumberFormat="1" applyFont="1" applyAlignment="1">
      <alignment horizontal="center" vertical="top" wrapText="1"/>
    </xf>
    <xf numFmtId="37" fontId="23" fillId="0" borderId="22" xfId="0" applyNumberFormat="1" applyFont="1" applyBorder="1" applyAlignment="1">
      <alignment horizontal="center" vertical="top" wrapText="1"/>
    </xf>
    <xf numFmtId="37" fontId="23" fillId="0" borderId="19" xfId="0" applyNumberFormat="1" applyFont="1" applyBorder="1" applyAlignment="1">
      <alignment horizontal="center" vertical="top" wrapText="1"/>
    </xf>
    <xf numFmtId="37" fontId="23" fillId="0" borderId="20" xfId="0" applyNumberFormat="1" applyFont="1" applyBorder="1" applyAlignment="1">
      <alignment horizontal="center" vertical="top" wrapText="1"/>
    </xf>
    <xf numFmtId="37" fontId="29" fillId="2" borderId="14" xfId="0" applyNumberFormat="1" applyFont="1" applyFill="1" applyBorder="1" applyAlignment="1">
      <alignment horizontal="center" vertical="center"/>
    </xf>
    <xf numFmtId="37" fontId="29" fillId="2" borderId="0" xfId="0" applyNumberFormat="1" applyFont="1" applyFill="1" applyAlignment="1">
      <alignment horizontal="center" vertical="center"/>
    </xf>
    <xf numFmtId="37" fontId="29" fillId="2" borderId="22" xfId="0" applyNumberFormat="1" applyFont="1" applyFill="1" applyBorder="1" applyAlignment="1">
      <alignment horizontal="center" vertical="center"/>
    </xf>
    <xf numFmtId="0" fontId="21" fillId="0" borderId="8" xfId="0" applyFont="1" applyBorder="1" applyAlignment="1">
      <alignment horizontal="left" vertical="center"/>
    </xf>
    <xf numFmtId="0" fontId="21" fillId="0" borderId="7" xfId="0" applyFont="1" applyBorder="1" applyAlignment="1">
      <alignment horizontal="left" vertical="center"/>
    </xf>
    <xf numFmtId="0" fontId="21" fillId="0" borderId="3" xfId="0" applyFont="1" applyBorder="1" applyAlignment="1">
      <alignment horizontal="center" vertical="center" wrapText="1"/>
    </xf>
    <xf numFmtId="1" fontId="21" fillId="0" borderId="39" xfId="0" applyNumberFormat="1" applyFont="1" applyBorder="1" applyAlignment="1">
      <alignment horizontal="center" vertical="center" wrapText="1"/>
    </xf>
    <xf numFmtId="1" fontId="21" fillId="0" borderId="40" xfId="0" applyNumberFormat="1" applyFont="1" applyBorder="1" applyAlignment="1">
      <alignment horizontal="center" vertical="center" wrapText="1"/>
    </xf>
    <xf numFmtId="0" fontId="21" fillId="0" borderId="8" xfId="0" applyFont="1" applyBorder="1" applyAlignment="1">
      <alignment horizontal="left" vertical="center" wrapText="1"/>
    </xf>
    <xf numFmtId="0" fontId="21" fillId="0" borderId="7" xfId="0" applyFont="1" applyBorder="1" applyAlignment="1">
      <alignment horizontal="left" vertical="center" wrapText="1"/>
    </xf>
    <xf numFmtId="1" fontId="21" fillId="0" borderId="8" xfId="0" applyNumberFormat="1" applyFont="1" applyBorder="1" applyAlignment="1">
      <alignment horizontal="center" vertical="center" wrapText="1"/>
    </xf>
    <xf numFmtId="1" fontId="21" fillId="0" borderId="7" xfId="0" applyNumberFormat="1" applyFont="1" applyBorder="1" applyAlignment="1">
      <alignment horizontal="center" vertical="center" wrapText="1"/>
    </xf>
    <xf numFmtId="0" fontId="21" fillId="0" borderId="0" xfId="0" applyFont="1" applyAlignment="1">
      <alignment horizontal="left" indent="2"/>
    </xf>
    <xf numFmtId="0" fontId="21" fillId="3" borderId="3" xfId="0" applyFont="1" applyFill="1" applyBorder="1" applyAlignment="1">
      <alignment horizontal="center" vertical="center"/>
    </xf>
    <xf numFmtId="2" fontId="21" fillId="0" borderId="0" xfId="0" applyNumberFormat="1" applyFont="1" applyAlignment="1">
      <alignment horizontal="left" vertical="center"/>
    </xf>
    <xf numFmtId="0" fontId="21" fillId="0" borderId="0" xfId="0" applyFont="1" applyAlignment="1">
      <alignment horizontal="left" vertical="center"/>
    </xf>
    <xf numFmtId="37" fontId="29" fillId="2" borderId="13" xfId="0" applyNumberFormat="1" applyFont="1" applyFill="1" applyBorder="1" applyAlignment="1">
      <alignment horizontal="center" vertical="center"/>
    </xf>
    <xf numFmtId="37" fontId="29" fillId="2" borderId="24" xfId="0" applyNumberFormat="1" applyFont="1" applyFill="1" applyBorder="1" applyAlignment="1">
      <alignment horizontal="center" vertical="center"/>
    </xf>
    <xf numFmtId="0" fontId="21" fillId="0" borderId="44" xfId="0" applyFont="1" applyBorder="1" applyAlignment="1">
      <alignment horizontal="left" vertical="center"/>
    </xf>
    <xf numFmtId="0" fontId="21" fillId="0" borderId="11" xfId="0" applyFont="1" applyBorder="1" applyAlignment="1">
      <alignment horizontal="left" vertical="center"/>
    </xf>
    <xf numFmtId="169" fontId="17" fillId="0" borderId="11" xfId="0" applyNumberFormat="1" applyFont="1" applyBorder="1" applyAlignment="1">
      <alignment horizontal="left" vertical="center" wrapText="1"/>
    </xf>
    <xf numFmtId="37" fontId="35" fillId="0" borderId="16" xfId="0" applyNumberFormat="1" applyFont="1" applyBorder="1" applyAlignment="1">
      <alignment horizontal="left" vertical="center" wrapText="1"/>
    </xf>
    <xf numFmtId="37" fontId="18" fillId="0" borderId="16" xfId="0" applyNumberFormat="1" applyFont="1" applyBorder="1" applyAlignment="1">
      <alignment horizontal="left" vertical="center" wrapText="1"/>
    </xf>
    <xf numFmtId="37" fontId="18" fillId="0" borderId="17" xfId="0" applyNumberFormat="1" applyFont="1" applyBorder="1" applyAlignment="1">
      <alignment horizontal="left" vertical="center" wrapText="1"/>
    </xf>
    <xf numFmtId="37" fontId="18" fillId="0" borderId="0" xfId="0" applyNumberFormat="1" applyFont="1" applyAlignment="1">
      <alignment horizontal="left" vertical="center" wrapText="1"/>
    </xf>
    <xf numFmtId="37" fontId="18" fillId="0" borderId="22" xfId="0" applyNumberFormat="1" applyFont="1" applyBorder="1" applyAlignment="1">
      <alignment horizontal="left" vertical="center" wrapText="1"/>
    </xf>
    <xf numFmtId="37" fontId="18" fillId="0" borderId="11" xfId="0" applyNumberFormat="1" applyFont="1" applyBorder="1" applyAlignment="1">
      <alignment horizontal="left" vertical="center" wrapText="1"/>
    </xf>
    <xf numFmtId="37" fontId="18" fillId="0" borderId="23" xfId="0" applyNumberFormat="1" applyFont="1" applyBorder="1" applyAlignment="1">
      <alignment horizontal="left" vertical="center" wrapText="1"/>
    </xf>
    <xf numFmtId="37" fontId="28" fillId="0" borderId="0" xfId="0" applyNumberFormat="1" applyFont="1" applyAlignment="1">
      <alignment horizontal="center" vertical="center"/>
    </xf>
    <xf numFmtId="37" fontId="28" fillId="0" borderId="22" xfId="0" applyNumberFormat="1" applyFont="1" applyBorder="1" applyAlignment="1">
      <alignment horizontal="center" vertical="center"/>
    </xf>
    <xf numFmtId="0" fontId="17" fillId="0" borderId="16" xfId="0" applyFont="1" applyBorder="1" applyAlignment="1">
      <alignment horizontal="left" vertical="top" wrapText="1"/>
    </xf>
    <xf numFmtId="0" fontId="17" fillId="0" borderId="17" xfId="0" applyFont="1" applyBorder="1" applyAlignment="1">
      <alignment horizontal="left" vertical="top" wrapText="1"/>
    </xf>
    <xf numFmtId="0" fontId="17" fillId="0" borderId="19" xfId="0" applyFont="1" applyBorder="1" applyAlignment="1">
      <alignment horizontal="left" vertical="center" wrapText="1"/>
    </xf>
    <xf numFmtId="0" fontId="17" fillId="0" borderId="20" xfId="0" applyFont="1" applyBorder="1" applyAlignment="1">
      <alignment horizontal="left" vertical="center" wrapText="1"/>
    </xf>
    <xf numFmtId="0" fontId="17" fillId="0" borderId="0" xfId="0" applyFont="1" applyAlignment="1">
      <alignment horizontal="center" vertical="center"/>
    </xf>
    <xf numFmtId="0" fontId="17" fillId="0" borderId="22" xfId="0" applyFont="1" applyBorder="1" applyAlignment="1">
      <alignment horizontal="center" vertical="center"/>
    </xf>
    <xf numFmtId="14" fontId="17" fillId="0" borderId="0" xfId="0" applyNumberFormat="1" applyFont="1" applyAlignment="1">
      <alignment horizontal="center" vertical="center"/>
    </xf>
    <xf numFmtId="0" fontId="17" fillId="0" borderId="0" xfId="0" applyFont="1" applyAlignment="1">
      <alignment horizontal="left" vertical="top" wrapText="1"/>
    </xf>
    <xf numFmtId="0" fontId="17" fillId="0" borderId="22" xfId="0" applyFont="1" applyBorder="1" applyAlignment="1">
      <alignment horizontal="left" vertical="top" wrapText="1"/>
    </xf>
    <xf numFmtId="0" fontId="17" fillId="0" borderId="11" xfId="0" applyFont="1" applyBorder="1" applyAlignment="1">
      <alignment horizontal="left" vertical="top" wrapText="1"/>
    </xf>
    <xf numFmtId="0" fontId="17" fillId="0" borderId="23" xfId="0" applyFont="1" applyBorder="1" applyAlignment="1">
      <alignment horizontal="left" vertical="top" wrapText="1"/>
    </xf>
    <xf numFmtId="0" fontId="21" fillId="0" borderId="12" xfId="0" applyFont="1" applyBorder="1" applyAlignment="1">
      <alignment horizontal="left"/>
    </xf>
    <xf numFmtId="0" fontId="21" fillId="0" borderId="13" xfId="0" applyFont="1" applyBorder="1" applyAlignment="1">
      <alignment horizontal="left"/>
    </xf>
    <xf numFmtId="0" fontId="17" fillId="0" borderId="13" xfId="0" applyFont="1" applyBorder="1" applyAlignment="1">
      <alignment horizontal="left" vertical="center" wrapText="1"/>
    </xf>
    <xf numFmtId="3" fontId="67" fillId="0" borderId="9" xfId="0" applyNumberFormat="1" applyFont="1" applyBorder="1" applyAlignment="1">
      <alignment horizontal="center"/>
    </xf>
    <xf numFmtId="3" fontId="67" fillId="0" borderId="10" xfId="0" applyNumberFormat="1" applyFont="1" applyBorder="1" applyAlignment="1">
      <alignment horizontal="center"/>
    </xf>
    <xf numFmtId="2" fontId="67" fillId="0" borderId="9" xfId="0" applyNumberFormat="1" applyFont="1" applyBorder="1" applyAlignment="1">
      <alignment horizontal="center"/>
    </xf>
    <xf numFmtId="2" fontId="67" fillId="0" borderId="10" xfId="0" applyNumberFormat="1" applyFont="1" applyBorder="1" applyAlignment="1">
      <alignment horizontal="center"/>
    </xf>
    <xf numFmtId="9" fontId="67" fillId="0" borderId="9" xfId="2" applyFont="1" applyBorder="1" applyAlignment="1">
      <alignment horizontal="center"/>
    </xf>
    <xf numFmtId="9" fontId="67" fillId="0" borderId="10" xfId="2" applyFont="1" applyBorder="1" applyAlignment="1">
      <alignment horizontal="center"/>
    </xf>
    <xf numFmtId="1" fontId="67" fillId="0" borderId="9" xfId="0" applyNumberFormat="1" applyFont="1" applyBorder="1" applyAlignment="1">
      <alignment horizontal="center"/>
    </xf>
    <xf numFmtId="1" fontId="67" fillId="0" borderId="10" xfId="0" applyNumberFormat="1" applyFont="1" applyBorder="1" applyAlignment="1">
      <alignment horizontal="center"/>
    </xf>
    <xf numFmtId="3" fontId="0" fillId="0" borderId="9" xfId="0" applyNumberFormat="1" applyBorder="1" applyAlignment="1">
      <alignment horizontal="center"/>
    </xf>
    <xf numFmtId="3" fontId="0" fillId="0" borderId="10" xfId="0" applyNumberFormat="1" applyBorder="1" applyAlignment="1">
      <alignment horizontal="center"/>
    </xf>
    <xf numFmtId="167" fontId="0" fillId="0" borderId="9" xfId="2" applyNumberFormat="1" applyFont="1" applyBorder="1" applyAlignment="1">
      <alignment horizontal="center"/>
    </xf>
    <xf numFmtId="167" fontId="0" fillId="0" borderId="10" xfId="2" applyNumberFormat="1" applyFont="1" applyBorder="1" applyAlignment="1">
      <alignment horizontal="center"/>
    </xf>
    <xf numFmtId="2" fontId="0" fillId="0" borderId="9" xfId="0" applyNumberFormat="1" applyBorder="1" applyAlignment="1">
      <alignment horizontal="center"/>
    </xf>
    <xf numFmtId="2" fontId="0" fillId="0" borderId="10" xfId="0" applyNumberFormat="1" applyBorder="1" applyAlignment="1">
      <alignment horizontal="center"/>
    </xf>
    <xf numFmtId="9" fontId="0" fillId="0" borderId="9" xfId="2" applyFont="1" applyBorder="1" applyAlignment="1">
      <alignment horizontal="center"/>
    </xf>
    <xf numFmtId="9" fontId="0" fillId="0" borderId="10" xfId="2" applyFont="1" applyBorder="1" applyAlignment="1">
      <alignment horizontal="center"/>
    </xf>
    <xf numFmtId="1" fontId="0" fillId="0" borderId="9" xfId="0" applyNumberFormat="1" applyBorder="1" applyAlignment="1">
      <alignment horizontal="center"/>
    </xf>
    <xf numFmtId="1" fontId="0" fillId="0" borderId="10" xfId="0" applyNumberFormat="1" applyBorder="1" applyAlignment="1">
      <alignment horizontal="center"/>
    </xf>
    <xf numFmtId="3" fontId="0" fillId="4" borderId="9" xfId="0" applyNumberFormat="1" applyFill="1" applyBorder="1" applyAlignment="1">
      <alignment horizontal="center"/>
    </xf>
    <xf numFmtId="3" fontId="0" fillId="4" borderId="10" xfId="0" applyNumberFormat="1" applyFill="1" applyBorder="1" applyAlignment="1">
      <alignment horizontal="center"/>
    </xf>
    <xf numFmtId="0" fontId="2" fillId="0" borderId="4" xfId="0" applyFont="1" applyBorder="1" applyAlignment="1">
      <alignment horizontal="center" vertical="center"/>
    </xf>
    <xf numFmtId="0" fontId="2" fillId="0" borderId="6" xfId="0" applyFont="1" applyBorder="1" applyAlignment="1">
      <alignment horizontal="center" vertical="center"/>
    </xf>
    <xf numFmtId="0" fontId="2" fillId="0" borderId="5" xfId="0" applyFont="1" applyBorder="1" applyAlignment="1">
      <alignment horizontal="center" vertical="center"/>
    </xf>
    <xf numFmtId="0" fontId="7" fillId="0" borderId="0" xfId="0" applyFont="1" applyAlignment="1">
      <alignment horizontal="center" wrapText="1"/>
    </xf>
    <xf numFmtId="0" fontId="7" fillId="0" borderId="1" xfId="0" applyFont="1" applyBorder="1" applyAlignment="1">
      <alignment horizontal="center" wrapText="1"/>
    </xf>
    <xf numFmtId="0" fontId="4" fillId="0" borderId="1" xfId="0" applyFont="1" applyBorder="1" applyAlignment="1">
      <alignment horizontal="center"/>
    </xf>
    <xf numFmtId="0" fontId="5" fillId="0" borderId="1" xfId="0" applyFont="1" applyBorder="1" applyAlignment="1">
      <alignment horizontal="center"/>
    </xf>
    <xf numFmtId="0" fontId="6" fillId="0" borderId="0" xfId="0" applyFont="1" applyAlignment="1">
      <alignment horizontal="center"/>
    </xf>
    <xf numFmtId="0" fontId="0" fillId="0" borderId="1" xfId="0" applyBorder="1" applyAlignment="1">
      <alignment horizontal="center"/>
    </xf>
    <xf numFmtId="0" fontId="6" fillId="0" borderId="1" xfId="0" applyFont="1" applyBorder="1" applyAlignment="1">
      <alignment horizontal="left"/>
    </xf>
    <xf numFmtId="0" fontId="6" fillId="0" borderId="1" xfId="0" applyFont="1" applyBorder="1" applyAlignment="1">
      <alignment horizontal="center"/>
    </xf>
    <xf numFmtId="0" fontId="6" fillId="0" borderId="2" xfId="0" applyFont="1" applyBorder="1" applyAlignment="1">
      <alignment horizontal="left"/>
    </xf>
    <xf numFmtId="0" fontId="6" fillId="0" borderId="0" xfId="0" applyFont="1" applyAlignment="1">
      <alignment horizontal="center" wrapText="1"/>
    </xf>
    <xf numFmtId="0" fontId="6" fillId="0" borderId="1" xfId="0" applyFont="1" applyBorder="1" applyAlignment="1">
      <alignment horizontal="center" wrapText="1"/>
    </xf>
    <xf numFmtId="0" fontId="3" fillId="0" borderId="0" xfId="0" applyFont="1" applyAlignment="1">
      <alignment horizontal="left" vertical="top" wrapText="1"/>
    </xf>
    <xf numFmtId="0" fontId="3" fillId="0" borderId="0" xfId="0" applyFont="1" applyAlignment="1">
      <alignment horizontal="left" wrapText="1"/>
    </xf>
    <xf numFmtId="0" fontId="42" fillId="0" borderId="0" xfId="0" applyFont="1" applyAlignment="1">
      <alignment horizontal="left" vertical="top" wrapText="1"/>
    </xf>
    <xf numFmtId="165" fontId="0" fillId="0" borderId="4" xfId="0" applyNumberFormat="1" applyBorder="1" applyAlignment="1">
      <alignment horizontal="center" vertical="center"/>
    </xf>
    <xf numFmtId="165" fontId="0" fillId="0" borderId="6" xfId="0" applyNumberFormat="1" applyBorder="1" applyAlignment="1">
      <alignment horizontal="center" vertical="center"/>
    </xf>
    <xf numFmtId="0" fontId="3" fillId="0" borderId="8" xfId="0" applyFont="1" applyBorder="1" applyAlignment="1">
      <alignment horizontal="center"/>
    </xf>
    <xf numFmtId="0" fontId="3" fillId="0" borderId="7" xfId="0" applyFont="1" applyBorder="1" applyAlignment="1">
      <alignment horizontal="center"/>
    </xf>
    <xf numFmtId="2" fontId="0" fillId="0" borderId="4" xfId="0" applyNumberFormat="1" applyBorder="1" applyAlignment="1">
      <alignment horizontal="center" vertical="center"/>
    </xf>
    <xf numFmtId="2" fontId="0" fillId="0" borderId="6" xfId="0" applyNumberFormat="1" applyBorder="1" applyAlignment="1">
      <alignment horizontal="center" vertical="center"/>
    </xf>
    <xf numFmtId="0" fontId="0" fillId="0" borderId="2" xfId="0" applyBorder="1" applyAlignment="1">
      <alignment horizontal="left"/>
    </xf>
    <xf numFmtId="0" fontId="0" fillId="0" borderId="7" xfId="0" applyBorder="1" applyAlignment="1">
      <alignment horizontal="left"/>
    </xf>
    <xf numFmtId="0" fontId="0" fillId="0" borderId="4" xfId="0" applyBorder="1" applyAlignment="1">
      <alignment horizontal="center" vertical="center"/>
    </xf>
    <xf numFmtId="0" fontId="0" fillId="0" borderId="6" xfId="0" applyBorder="1" applyAlignment="1">
      <alignment horizontal="center" vertical="center"/>
    </xf>
  </cellXfs>
  <cellStyles count="5">
    <cellStyle name="Lien hypertexte" xfId="4" builtinId="8"/>
    <cellStyle name="Milliers" xfId="1" builtinId="3"/>
    <cellStyle name="Monétaire" xfId="3" builtinId="4"/>
    <cellStyle name="Normal" xfId="0" builtinId="0"/>
    <cellStyle name="Pourcentage" xfId="2" builtinId="5"/>
  </cellStyles>
  <dxfs count="46">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5D5F5"/>
        </patternFill>
      </fill>
    </dxf>
    <dxf>
      <fill>
        <patternFill>
          <bgColor rgb="FF95D5F5"/>
        </patternFill>
      </fill>
    </dxf>
    <dxf>
      <fill>
        <patternFill>
          <bgColor theme="2" tint="-9.9948118533890809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alignment horizontal="left" vertical="center" textRotation="0" indent="0" justifyLastLine="0" shrinkToFit="0" readingOrder="0"/>
    </dxf>
    <dxf>
      <numFmt numFmtId="3" formatCode="#,##0"/>
      <alignment horizontal="center" vertical="center" textRotation="0" wrapText="0" indent="0" justifyLastLine="0" shrinkToFit="0" readingOrder="0"/>
    </dxf>
    <dxf>
      <alignment horizontal="left" vertical="center" textRotation="0" indent="0" justifyLastLine="0" shrinkToFit="0" readingOrder="0"/>
    </dxf>
    <dxf>
      <alignment horizontal="left" vertical="center" textRotation="0" indent="0" justifyLastLine="0" shrinkToFit="0" readingOrder="0"/>
    </dxf>
    <dxf>
      <alignment horizontal="left" vertical="center" textRotation="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numFmt numFmtId="2" formatCode="0.00"/>
      <alignment horizontal="center" vertical="center" textRotation="0" wrapText="0" indent="0" justifyLastLine="0" shrinkToFit="0" readingOrder="0"/>
    </dxf>
    <dxf>
      <numFmt numFmtId="165" formatCode="0.0"/>
      <alignment horizontal="center" vertical="center" textRotation="0" wrapText="0" indent="0" justifyLastLine="0" shrinkToFit="0" readingOrder="0"/>
    </dxf>
    <dxf>
      <alignment horizontal="left" vertical="center" textRotation="0" wrapText="1" indent="0" justifyLastLine="0" shrinkToFit="0" readingOrder="0"/>
    </dxf>
    <dxf>
      <font>
        <b val="0"/>
        <i val="0"/>
        <strike val="0"/>
        <condense val="0"/>
        <extend val="0"/>
        <outline val="0"/>
        <shadow val="0"/>
        <u val="none"/>
        <vertAlign val="baseline"/>
        <sz val="10"/>
        <color rgb="FF002F5F"/>
        <name val="Arial"/>
        <family val="2"/>
        <scheme val="none"/>
      </font>
      <numFmt numFmtId="176" formatCode="_-[$$-1009]* #,##0.00_-;\-[$$-1009]* #,##0.00_-;_-[$$-1009]* &quot;-&quot;??_-;_-@_-"/>
      <fill>
        <patternFill patternType="solid">
          <fgColor indexed="64"/>
          <bgColor theme="0" tint="-0.24994659260841701"/>
        </patternFill>
      </fill>
      <alignment horizontal="left" vertical="center" textRotation="0" wrapText="0" indent="0" justifyLastLine="0" shrinkToFit="0" readingOrder="0"/>
      <border diagonalUp="0" diagonalDown="0">
        <left style="thin">
          <color theme="1"/>
        </left>
        <right/>
        <top style="thin">
          <color theme="1"/>
        </top>
        <bottom style="thin">
          <color theme="1"/>
        </bottom>
        <vertical style="thin">
          <color theme="1"/>
        </vertical>
        <horizontal style="thin">
          <color theme="1"/>
        </horizontal>
      </border>
      <protection locked="1" hidden="0"/>
    </dxf>
    <dxf>
      <font>
        <b val="0"/>
        <i val="0"/>
        <strike val="0"/>
        <condense val="0"/>
        <extend val="0"/>
        <outline val="0"/>
        <shadow val="0"/>
        <u val="none"/>
        <vertAlign val="baseline"/>
        <sz val="10"/>
        <color rgb="FF002F5F"/>
        <name val="Arial"/>
        <family val="2"/>
        <scheme val="none"/>
      </font>
      <fill>
        <patternFill patternType="solid">
          <fgColor indexed="64"/>
          <bgColor theme="0" tint="-0.24994659260841701"/>
        </patternFill>
      </fill>
      <alignment horizontal="center" vertical="center" textRotation="0" wrapText="0" indent="0" justifyLastLine="0" shrinkToFit="0" readingOrder="0"/>
      <border diagonalUp="0" diagonalDown="0">
        <left style="thin">
          <color theme="1"/>
        </left>
        <right style="thin">
          <color theme="1"/>
        </right>
        <top style="thin">
          <color theme="1"/>
        </top>
        <bottom style="thin">
          <color theme="1"/>
        </bottom>
        <vertical style="thin">
          <color theme="1"/>
        </vertical>
        <horizontal style="thin">
          <color theme="1"/>
        </horizontal>
      </border>
      <protection locked="1" hidden="0"/>
    </dxf>
    <dxf>
      <font>
        <b val="0"/>
        <i val="0"/>
        <strike val="0"/>
        <condense val="0"/>
        <extend val="0"/>
        <outline val="0"/>
        <shadow val="0"/>
        <u val="none"/>
        <vertAlign val="baseline"/>
        <sz val="10"/>
        <color rgb="FF002F5F"/>
        <name val="Arial"/>
        <family val="2"/>
        <scheme val="none"/>
      </font>
      <numFmt numFmtId="176" formatCode="_-[$$-1009]* #,##0.00_-;\-[$$-1009]* #,##0.00_-;_-[$$-1009]* &quot;-&quot;??_-;_-@_-"/>
      <fill>
        <patternFill patternType="solid">
          <fgColor indexed="64"/>
          <bgColor theme="0" tint="-0.24994659260841701"/>
        </patternFill>
      </fill>
      <alignment horizontal="center" vertical="center" textRotation="0" wrapText="0" indent="0" justifyLastLine="0" shrinkToFit="0" readingOrder="0"/>
      <border diagonalUp="0" diagonalDown="0">
        <left style="thin">
          <color theme="1"/>
        </left>
        <right style="thin">
          <color theme="1"/>
        </right>
        <top style="thin">
          <color theme="1"/>
        </top>
        <bottom style="thin">
          <color theme="1"/>
        </bottom>
        <vertical style="thin">
          <color theme="1"/>
        </vertical>
        <horizontal style="thin">
          <color theme="1"/>
        </horizontal>
      </border>
      <protection locked="1" hidden="0"/>
    </dxf>
    <dxf>
      <font>
        <b val="0"/>
        <i val="0"/>
        <strike val="0"/>
        <condense val="0"/>
        <extend val="0"/>
        <outline val="0"/>
        <shadow val="0"/>
        <u val="none"/>
        <vertAlign val="baseline"/>
        <sz val="10"/>
        <color rgb="FF002F5F"/>
        <name val="Arial"/>
        <family val="2"/>
        <scheme val="none"/>
      </font>
      <numFmt numFmtId="0" formatCode="General"/>
      <fill>
        <patternFill patternType="solid">
          <fgColor indexed="64"/>
          <bgColor theme="0" tint="-0.24994659260841701"/>
        </patternFill>
      </fill>
      <alignment horizontal="center" vertical="center" textRotation="0" wrapText="0" indent="0" justifyLastLine="0" shrinkToFit="0" readingOrder="0"/>
      <border diagonalUp="0" diagonalDown="0">
        <left style="thin">
          <color theme="1"/>
        </left>
        <right style="thin">
          <color theme="1"/>
        </right>
        <top style="thin">
          <color theme="1"/>
        </top>
        <bottom style="thin">
          <color theme="1"/>
        </bottom>
        <vertical style="thin">
          <color theme="1"/>
        </vertical>
        <horizontal style="thin">
          <color theme="1"/>
        </horizontal>
      </border>
      <protection locked="1" hidden="0"/>
    </dxf>
    <dxf>
      <font>
        <b val="0"/>
        <i val="0"/>
        <strike val="0"/>
        <condense val="0"/>
        <extend val="0"/>
        <outline val="0"/>
        <shadow val="0"/>
        <u val="none"/>
        <vertAlign val="baseline"/>
        <sz val="10"/>
        <color rgb="FF002F5F"/>
        <name val="Arial"/>
        <family val="2"/>
        <scheme val="none"/>
      </font>
      <fill>
        <patternFill patternType="solid">
          <fgColor indexed="64"/>
          <bgColor theme="0" tint="-0.24994659260841701"/>
        </patternFill>
      </fill>
      <alignment horizontal="left" vertical="center" textRotation="0" wrapText="0" indent="0" justifyLastLine="0" shrinkToFit="0" readingOrder="0"/>
      <border diagonalUp="0" diagonalDown="0">
        <left/>
        <right style="thin">
          <color theme="1"/>
        </right>
        <top style="thin">
          <color theme="1"/>
        </top>
        <bottom style="thin">
          <color theme="1"/>
        </bottom>
        <vertical style="thin">
          <color theme="1"/>
        </vertical>
        <horizontal style="thin">
          <color theme="1"/>
        </horizontal>
      </border>
      <protection locked="1" hidden="0"/>
    </dxf>
    <dxf>
      <font>
        <b val="0"/>
        <i val="0"/>
        <strike val="0"/>
        <condense val="0"/>
        <extend val="0"/>
        <outline val="0"/>
        <shadow val="0"/>
        <u val="none"/>
        <vertAlign val="baseline"/>
        <sz val="10"/>
        <color rgb="FF002F5F"/>
        <name val="Arial"/>
        <family val="2"/>
        <scheme val="none"/>
      </font>
      <fill>
        <patternFill patternType="solid">
          <fgColor indexed="64"/>
          <bgColor theme="0" tint="-0.2499465926084170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0"/>
        <color rgb="FFFFFFFF"/>
        <name val="Arial"/>
        <family val="2"/>
        <scheme val="none"/>
      </font>
      <fill>
        <patternFill patternType="solid">
          <fgColor rgb="FF000000"/>
          <bgColor rgb="FF002855"/>
        </patternFill>
      </fill>
      <alignment horizontal="center" vertical="center" textRotation="0" wrapText="1" indent="0" justifyLastLine="0" shrinkToFit="0" readingOrder="0"/>
      <border diagonalUp="0" diagonalDown="0">
        <left style="thin">
          <color rgb="FFFFFFFF"/>
        </left>
        <right style="thin">
          <color rgb="FFFFFFFF"/>
        </right>
        <top/>
        <bottom/>
      </border>
      <protection locked="1" hidden="0"/>
    </dxf>
    <dxf>
      <font>
        <b val="0"/>
        <i val="0"/>
        <strike val="0"/>
        <condense val="0"/>
        <extend val="0"/>
        <outline val="0"/>
        <shadow val="0"/>
        <u val="none"/>
        <vertAlign val="baseline"/>
        <sz val="10"/>
        <color theme="1"/>
        <name val="Arial"/>
        <family val="2"/>
        <scheme val="none"/>
      </font>
      <numFmt numFmtId="176" formatCode="_-[$$-1009]* #,##0.00_-;\-[$$-1009]* #,##0.00_-;_-[$$-1009]* &quot;-&quot;??_-;_-@_-"/>
      <fill>
        <patternFill patternType="solid">
          <fgColor indexed="64"/>
          <bgColor rgb="FFC0C0C0"/>
        </patternFill>
      </fill>
      <alignment horizontal="center" vertical="center" textRotation="0" wrapText="0" indent="0" justifyLastLine="0" shrinkToFit="0" readingOrder="0"/>
      <border diagonalUp="0" diagonalDown="0">
        <left style="thin">
          <color theme="1"/>
        </left>
        <right/>
        <top style="thin">
          <color theme="1"/>
        </top>
        <bottom style="thin">
          <color theme="1"/>
        </bottom>
      </border>
      <protection locked="1" hidden="0"/>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theme="1"/>
        </left>
        <right/>
        <top style="thin">
          <color theme="1"/>
        </top>
        <bottom style="thin">
          <color theme="1"/>
        </bottom>
      </border>
      <protection locked="0" hidden="0"/>
    </dxf>
    <dxf>
      <font>
        <b val="0"/>
        <i val="0"/>
        <strike val="0"/>
        <condense val="0"/>
        <extend val="0"/>
        <outline val="0"/>
        <shadow val="0"/>
        <u val="none"/>
        <vertAlign val="baseline"/>
        <sz val="10"/>
        <color theme="1"/>
        <name val="Arial"/>
        <family val="2"/>
        <scheme val="none"/>
      </font>
      <numFmt numFmtId="176" formatCode="_-[$$-1009]* #,##0.00_-;\-[$$-1009]* #,##0.00_-;_-[$$-1009]* &quot;-&quot;??_-;_-@_-"/>
      <fill>
        <patternFill patternType="solid">
          <fgColor indexed="64"/>
          <bgColor theme="0"/>
        </patternFill>
      </fill>
      <alignment horizontal="center" vertical="center" textRotation="0" wrapText="0" indent="0" justifyLastLine="0" shrinkToFit="0" readingOrder="0"/>
      <border diagonalUp="0" diagonalDown="0">
        <left style="thin">
          <color theme="1"/>
        </left>
        <right style="thin">
          <color theme="1"/>
        </right>
        <top style="thin">
          <color theme="1"/>
        </top>
        <bottom style="thin">
          <color theme="1"/>
        </bottom>
      </border>
      <protection locked="0" hidden="0"/>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theme="1"/>
        </left>
        <right style="thin">
          <color theme="1"/>
        </right>
        <top style="thin">
          <color theme="1"/>
        </top>
        <bottom style="thin">
          <color theme="1"/>
        </bottom>
      </border>
      <protection locked="0" hidden="0"/>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theme="1"/>
        </left>
        <right style="thin">
          <color theme="1"/>
        </right>
        <top style="thin">
          <color theme="1"/>
        </top>
        <bottom style="thin">
          <color theme="1"/>
        </bottom>
      </border>
      <protection locked="0" hidden="0"/>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medium">
          <color theme="4"/>
        </left>
        <right style="thin">
          <color theme="1"/>
        </right>
        <top style="thin">
          <color theme="1"/>
        </top>
        <bottom style="thin">
          <color theme="1"/>
        </bottom>
      </border>
      <protection locked="0" hidden="0"/>
    </dxf>
    <dxf>
      <fill>
        <patternFill patternType="none">
          <fgColor indexed="64"/>
          <bgColor auto="1"/>
        </patternFill>
      </fill>
      <alignment vertical="center" textRotation="0" wrapText="0" indent="0" justifyLastLine="0" shrinkToFit="0" readingOrder="0"/>
      <protection locked="1" hidden="0"/>
    </dxf>
    <dxf>
      <font>
        <b/>
        <i val="0"/>
        <strike val="0"/>
        <condense val="0"/>
        <extend val="0"/>
        <outline val="0"/>
        <shadow val="0"/>
        <u val="none"/>
        <vertAlign val="baseline"/>
        <sz val="10"/>
        <color rgb="FFFFFFFF"/>
        <name val="Arial"/>
        <family val="2"/>
        <scheme val="none"/>
      </font>
      <fill>
        <patternFill patternType="solid">
          <fgColor rgb="FF000000"/>
          <bgColor rgb="FF002855"/>
        </patternFill>
      </fill>
      <alignment horizontal="center" vertical="center" textRotation="0" wrapText="1" indent="0" justifyLastLine="0" shrinkToFit="0" readingOrder="0"/>
      <border diagonalUp="0" diagonalDown="0">
        <left style="thin">
          <color rgb="FFFFFFFF"/>
        </left>
        <right style="thin">
          <color rgb="FFFFFFFF"/>
        </right>
        <top/>
        <bottom/>
      </border>
      <protection locked="1" hidden="0"/>
    </dxf>
  </dxfs>
  <tableStyles count="0" defaultTableStyle="TableStyleMedium2" defaultPivotStyle="PivotStyleLight16"/>
  <colors>
    <mruColors>
      <color rgb="FFD9D9D9"/>
      <color rgb="FFC0C0C0"/>
      <color rgb="FF009FDF"/>
      <color rgb="FF002F5F"/>
      <color rgb="FF95D5F5"/>
      <color rgb="FF002855"/>
      <color rgb="FFFFFFFF"/>
      <color rgb="FF95D8F5"/>
      <color rgb="FFD7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2.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2" Type="http://schemas.openxmlformats.org/officeDocument/2006/relationships/customXml" Target="../ink/ink1.xml"/><Relationship Id="rId1" Type="http://schemas.openxmlformats.org/officeDocument/2006/relationships/image" Target="../media/image2.jpeg"/><Relationship Id="rId11" Type="http://schemas.openxmlformats.org/officeDocument/2006/relationships/image" Target="../media/image4.jpg"/><Relationship Id="rId10" Type="http://schemas.openxmlformats.org/officeDocument/2006/relationships/image" Target="../media/image3.jpg"/><Relationship Id="rId9"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8.png"/><Relationship Id="rId1" Type="http://schemas.openxmlformats.org/officeDocument/2006/relationships/image" Target="../media/image7.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523875</xdr:colOff>
          <xdr:row>89</xdr:row>
          <xdr:rowOff>28575</xdr:rowOff>
        </xdr:from>
        <xdr:to>
          <xdr:col>3</xdr:col>
          <xdr:colOff>952500</xdr:colOff>
          <xdr:row>92</xdr:row>
          <xdr:rowOff>9525</xdr:rowOff>
        </xdr:to>
        <xdr:sp macro="" textlink="">
          <xdr:nvSpPr>
            <xdr:cNvPr id="39941" name="Check Box 5" hidden="1">
              <a:extLst>
                <a:ext uri="{63B3BB69-23CF-44E3-9099-C40C66FF867C}">
                  <a14:compatExt spid="_x0000_s39941"/>
                </a:ext>
                <a:ext uri="{FF2B5EF4-FFF2-40B4-BE49-F238E27FC236}">
                  <a16:creationId xmlns:a16="http://schemas.microsoft.com/office/drawing/2014/main" id="{00000000-0008-0000-0000-0000059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91</xdr:row>
          <xdr:rowOff>28575</xdr:rowOff>
        </xdr:from>
        <xdr:to>
          <xdr:col>3</xdr:col>
          <xdr:colOff>952500</xdr:colOff>
          <xdr:row>93</xdr:row>
          <xdr:rowOff>47625</xdr:rowOff>
        </xdr:to>
        <xdr:sp macro="" textlink="">
          <xdr:nvSpPr>
            <xdr:cNvPr id="39942" name="Check Box 6" hidden="1">
              <a:extLst>
                <a:ext uri="{63B3BB69-23CF-44E3-9099-C40C66FF867C}">
                  <a14:compatExt spid="_x0000_s39942"/>
                </a:ext>
                <a:ext uri="{FF2B5EF4-FFF2-40B4-BE49-F238E27FC236}">
                  <a16:creationId xmlns:a16="http://schemas.microsoft.com/office/drawing/2014/main" id="{00000000-0008-0000-0000-0000069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523875</xdr:colOff>
          <xdr:row>91</xdr:row>
          <xdr:rowOff>28575</xdr:rowOff>
        </xdr:from>
        <xdr:to>
          <xdr:col>7</xdr:col>
          <xdr:colOff>952500</xdr:colOff>
          <xdr:row>94</xdr:row>
          <xdr:rowOff>28575</xdr:rowOff>
        </xdr:to>
        <xdr:sp macro="" textlink="">
          <xdr:nvSpPr>
            <xdr:cNvPr id="39943" name="Check Box 7" hidden="1">
              <a:extLst>
                <a:ext uri="{63B3BB69-23CF-44E3-9099-C40C66FF867C}">
                  <a14:compatExt spid="_x0000_s39943"/>
                </a:ext>
                <a:ext uri="{FF2B5EF4-FFF2-40B4-BE49-F238E27FC236}">
                  <a16:creationId xmlns:a16="http://schemas.microsoft.com/office/drawing/2014/main" id="{00000000-0008-0000-0000-0000079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523875</xdr:colOff>
          <xdr:row>89</xdr:row>
          <xdr:rowOff>47625</xdr:rowOff>
        </xdr:from>
        <xdr:to>
          <xdr:col>7</xdr:col>
          <xdr:colOff>952500</xdr:colOff>
          <xdr:row>92</xdr:row>
          <xdr:rowOff>0</xdr:rowOff>
        </xdr:to>
        <xdr:sp macro="" textlink="">
          <xdr:nvSpPr>
            <xdr:cNvPr id="39944" name="Check Box 8" hidden="1">
              <a:extLst>
                <a:ext uri="{63B3BB69-23CF-44E3-9099-C40C66FF867C}">
                  <a14:compatExt spid="_x0000_s39944"/>
                </a:ext>
                <a:ext uri="{FF2B5EF4-FFF2-40B4-BE49-F238E27FC236}">
                  <a16:creationId xmlns:a16="http://schemas.microsoft.com/office/drawing/2014/main" id="{00000000-0008-0000-0000-0000089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10</xdr:col>
      <xdr:colOff>190500</xdr:colOff>
      <xdr:row>1</xdr:row>
      <xdr:rowOff>104775</xdr:rowOff>
    </xdr:from>
    <xdr:to>
      <xdr:col>13</xdr:col>
      <xdr:colOff>819</xdr:colOff>
      <xdr:row>3</xdr:row>
      <xdr:rowOff>254150</xdr:rowOff>
    </xdr:to>
    <xdr:pic>
      <xdr:nvPicPr>
        <xdr:cNvPr id="9" name="Image 8" descr="https://www.energir.com/~/media/Files/Corporatif/Logos/Energir_2C_PNG.png">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7962900" y="295275"/>
          <a:ext cx="2102669" cy="781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512887</xdr:colOff>
      <xdr:row>14</xdr:row>
      <xdr:rowOff>0</xdr:rowOff>
    </xdr:from>
    <xdr:to>
      <xdr:col>11</xdr:col>
      <xdr:colOff>169242</xdr:colOff>
      <xdr:row>20</xdr:row>
      <xdr:rowOff>44450</xdr:rowOff>
    </xdr:to>
    <xdr:grpSp>
      <xdr:nvGrpSpPr>
        <xdr:cNvPr id="2" name="Groupe 1">
          <a:extLst>
            <a:ext uri="{FF2B5EF4-FFF2-40B4-BE49-F238E27FC236}">
              <a16:creationId xmlns:a16="http://schemas.microsoft.com/office/drawing/2014/main" id="{00000000-0008-0000-0100-000002000000}"/>
            </a:ext>
          </a:extLst>
        </xdr:cNvPr>
        <xdr:cNvGrpSpPr/>
      </xdr:nvGrpSpPr>
      <xdr:grpSpPr>
        <a:xfrm>
          <a:off x="7154410" y="3437659"/>
          <a:ext cx="2764968" cy="2798041"/>
          <a:chOff x="7153139" y="17975747"/>
          <a:chExt cx="2550628" cy="3684104"/>
        </a:xfrm>
      </xdr:grpSpPr>
      <xdr:pic>
        <xdr:nvPicPr>
          <xdr:cNvPr id="8" name="Image 7" descr="Échantillons d’étiquettes CSA ENERGY STAR">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9422" y="17975747"/>
            <a:ext cx="2284345" cy="3684104"/>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 name="Ellipse 2">
            <a:extLst>
              <a:ext uri="{FF2B5EF4-FFF2-40B4-BE49-F238E27FC236}">
                <a16:creationId xmlns:a16="http://schemas.microsoft.com/office/drawing/2014/main" id="{00000000-0008-0000-0100-000003000000}"/>
              </a:ext>
            </a:extLst>
          </xdr:cNvPr>
          <xdr:cNvSpPr/>
        </xdr:nvSpPr>
        <xdr:spPr>
          <a:xfrm>
            <a:off x="7468385" y="19747813"/>
            <a:ext cx="1058082" cy="356328"/>
          </a:xfrm>
          <a:prstGeom prst="ellipse">
            <a:avLst/>
          </a:prstGeom>
          <a:noFill/>
          <a:ln w="19050">
            <a:solidFill>
              <a:srgbClr val="009FD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sp macro="" textlink="">
        <xdr:nvSpPr>
          <xdr:cNvPr id="4" name="ZoneTexte 3">
            <a:extLst>
              <a:ext uri="{FF2B5EF4-FFF2-40B4-BE49-F238E27FC236}">
                <a16:creationId xmlns:a16="http://schemas.microsoft.com/office/drawing/2014/main" id="{00000000-0008-0000-0100-000004000000}"/>
              </a:ext>
            </a:extLst>
          </xdr:cNvPr>
          <xdr:cNvSpPr txBox="1"/>
        </xdr:nvSpPr>
        <xdr:spPr>
          <a:xfrm>
            <a:off x="7153139" y="19614984"/>
            <a:ext cx="395267" cy="356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1000">
                <a:solidFill>
                  <a:srgbClr val="009FDF"/>
                </a:solidFill>
                <a:latin typeface="Arial" panose="020B0604020202020204" pitchFamily="34" charset="0"/>
                <a:cs typeface="Arial" panose="020B0604020202020204" pitchFamily="34" charset="0"/>
              </a:rPr>
              <a:t>(1)</a:t>
            </a:r>
          </a:p>
        </xdr:txBody>
      </xdr:sp>
    </xdr:grpSp>
    <xdr:clientData/>
  </xdr:twoCellAnchor>
  <xdr:twoCellAnchor editAs="oneCell">
    <xdr:from>
      <xdr:col>19</xdr:col>
      <xdr:colOff>380925</xdr:colOff>
      <xdr:row>32</xdr:row>
      <xdr:rowOff>161580</xdr:rowOff>
    </xdr:from>
    <xdr:to>
      <xdr:col>19</xdr:col>
      <xdr:colOff>381285</xdr:colOff>
      <xdr:row>32</xdr:row>
      <xdr:rowOff>170745</xdr:rowOff>
    </xdr:to>
    <mc:AlternateContent xmlns:mc="http://schemas.openxmlformats.org/markup-compatibility/2006" xmlns:xdr14="http://schemas.microsoft.com/office/excel/2010/spreadsheetDrawing">
      <mc:Choice Requires="xdr14">
        <xdr:contentPart xmlns:r="http://schemas.openxmlformats.org/officeDocument/2006/relationships" r:id="rId2">
          <xdr14:nvContentPartPr>
            <xdr14:cNvPr id="5" name="Encre 4">
              <a:extLst>
                <a:ext uri="{FF2B5EF4-FFF2-40B4-BE49-F238E27FC236}">
                  <a16:creationId xmlns:a16="http://schemas.microsoft.com/office/drawing/2014/main" id="{00000000-0008-0000-0100-000005000000}"/>
                </a:ext>
              </a:extLst>
            </xdr14:cNvPr>
            <xdr14:cNvContentPartPr/>
          </xdr14:nvContentPartPr>
          <xdr14:nvPr macro=""/>
          <xdr14:xfrm>
            <a:off x="16525800" y="23097780"/>
            <a:ext cx="360" cy="360"/>
          </xdr14:xfrm>
        </xdr:contentPart>
      </mc:Choice>
      <mc:Fallback xmlns="">
        <xdr:pic>
          <xdr:nvPicPr>
            <xdr:cNvPr id="5" name="Encre 4">
              <a:extLst>
                <a:ext uri="{FF2B5EF4-FFF2-40B4-BE49-F238E27FC236}">
                  <a16:creationId xmlns:a16="http://schemas.microsoft.com/office/drawing/2014/main" id="{116DDCBA-9AD4-4558-A585-927E97B06082}"/>
                </a:ext>
              </a:extLst>
            </xdr:cNvPr>
            <xdr:cNvPicPr/>
          </xdr:nvPicPr>
          <xdr:blipFill>
            <a:blip xmlns:r="http://schemas.openxmlformats.org/officeDocument/2006/relationships" r:embed="rId8"/>
            <a:stretch>
              <a:fillRect/>
            </a:stretch>
          </xdr:blipFill>
          <xdr:spPr>
            <a:xfrm>
              <a:off x="16516800" y="23089140"/>
              <a:ext cx="18000" cy="18000"/>
            </a:xfrm>
            <a:prstGeom prst="rect">
              <a:avLst/>
            </a:prstGeom>
          </xdr:spPr>
        </xdr:pic>
      </mc:Fallback>
    </mc:AlternateContent>
    <xdr:clientData/>
  </xdr:twoCellAnchor>
  <xdr:twoCellAnchor editAs="oneCell">
    <xdr:from>
      <xdr:col>10</xdr:col>
      <xdr:colOff>28575</xdr:colOff>
      <xdr:row>1</xdr:row>
      <xdr:rowOff>114300</xdr:rowOff>
    </xdr:from>
    <xdr:to>
      <xdr:col>13</xdr:col>
      <xdr:colOff>10344</xdr:colOff>
      <xdr:row>3</xdr:row>
      <xdr:rowOff>266850</xdr:rowOff>
    </xdr:to>
    <xdr:pic>
      <xdr:nvPicPr>
        <xdr:cNvPr id="10" name="Image 9" descr="https://www.energir.com/~/media/Files/Corporatif/Logos/Energir_2C_PNG.png">
          <a:extLst>
            <a:ext uri="{FF2B5EF4-FFF2-40B4-BE49-F238E27FC236}">
              <a16:creationId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7781925" y="304800"/>
          <a:ext cx="2102669" cy="781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28575</xdr:colOff>
      <xdr:row>88</xdr:row>
      <xdr:rowOff>76200</xdr:rowOff>
    </xdr:from>
    <xdr:to>
      <xdr:col>13</xdr:col>
      <xdr:colOff>10344</xdr:colOff>
      <xdr:row>91</xdr:row>
      <xdr:rowOff>63650</xdr:rowOff>
    </xdr:to>
    <xdr:pic>
      <xdr:nvPicPr>
        <xdr:cNvPr id="11" name="Image 10" descr="https://www.energir.com/~/media/Files/Corporatif/Logos/Energir_2C_PNG.png">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7781925" y="19945350"/>
          <a:ext cx="2102669" cy="781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63502</xdr:colOff>
      <xdr:row>29</xdr:row>
      <xdr:rowOff>349251</xdr:rowOff>
    </xdr:from>
    <xdr:to>
      <xdr:col>12</xdr:col>
      <xdr:colOff>142875</xdr:colOff>
      <xdr:row>34</xdr:row>
      <xdr:rowOff>27245</xdr:rowOff>
    </xdr:to>
    <xdr:pic>
      <xdr:nvPicPr>
        <xdr:cNvPr id="13" name="Image 12">
          <a:extLst>
            <a:ext uri="{FF2B5EF4-FFF2-40B4-BE49-F238E27FC236}">
              <a16:creationId xmlns:a16="http://schemas.microsoft.com/office/drawing/2014/main" id="{00000000-0008-0000-0100-00000D000000}"/>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r="9981"/>
        <a:stretch/>
      </xdr:blipFill>
      <xdr:spPr>
        <a:xfrm>
          <a:off x="8794752" y="8199439"/>
          <a:ext cx="2000248" cy="1876681"/>
        </a:xfrm>
        <a:prstGeom prst="rect">
          <a:avLst/>
        </a:prstGeom>
      </xdr:spPr>
    </xdr:pic>
    <xdr:clientData/>
  </xdr:twoCellAnchor>
  <xdr:twoCellAnchor editAs="oneCell">
    <xdr:from>
      <xdr:col>2</xdr:col>
      <xdr:colOff>47625</xdr:colOff>
      <xdr:row>70</xdr:row>
      <xdr:rowOff>87313</xdr:rowOff>
    </xdr:from>
    <xdr:to>
      <xdr:col>11</xdr:col>
      <xdr:colOff>763588</xdr:colOff>
      <xdr:row>85</xdr:row>
      <xdr:rowOff>26295</xdr:rowOff>
    </xdr:to>
    <xdr:pic>
      <xdr:nvPicPr>
        <xdr:cNvPr id="16" name="Imag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468313" y="16748126"/>
          <a:ext cx="10058400" cy="268376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904172</xdr:colOff>
      <xdr:row>1</xdr:row>
      <xdr:rowOff>114157</xdr:rowOff>
    </xdr:from>
    <xdr:to>
      <xdr:col>9</xdr:col>
      <xdr:colOff>258557</xdr:colOff>
      <xdr:row>3</xdr:row>
      <xdr:rowOff>254008</xdr:rowOff>
    </xdr:to>
    <xdr:pic>
      <xdr:nvPicPr>
        <xdr:cNvPr id="2" name="Imag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48235" y="292751"/>
          <a:ext cx="2069010" cy="77723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371475</xdr:colOff>
          <xdr:row>44</xdr:row>
          <xdr:rowOff>304800</xdr:rowOff>
        </xdr:from>
        <xdr:to>
          <xdr:col>2</xdr:col>
          <xdr:colOff>800100</xdr:colOff>
          <xdr:row>46</xdr:row>
          <xdr:rowOff>66675</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300-000003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xdr:colOff>
          <xdr:row>46</xdr:row>
          <xdr:rowOff>0</xdr:rowOff>
        </xdr:from>
        <xdr:to>
          <xdr:col>2</xdr:col>
          <xdr:colOff>800100</xdr:colOff>
          <xdr:row>47</xdr:row>
          <xdr:rowOff>66675</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300-000004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xdr:colOff>
          <xdr:row>47</xdr:row>
          <xdr:rowOff>9525</xdr:rowOff>
        </xdr:from>
        <xdr:to>
          <xdr:col>2</xdr:col>
          <xdr:colOff>800100</xdr:colOff>
          <xdr:row>48</xdr:row>
          <xdr:rowOff>76200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300-000005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xdr:colOff>
          <xdr:row>48</xdr:row>
          <xdr:rowOff>28575</xdr:rowOff>
        </xdr:from>
        <xdr:to>
          <xdr:col>2</xdr:col>
          <xdr:colOff>809625</xdr:colOff>
          <xdr:row>49</xdr:row>
          <xdr:rowOff>66675</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300-000006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xdr:colOff>
          <xdr:row>49</xdr:row>
          <xdr:rowOff>9525</xdr:rowOff>
        </xdr:from>
        <xdr:to>
          <xdr:col>2</xdr:col>
          <xdr:colOff>790575</xdr:colOff>
          <xdr:row>50</xdr:row>
          <xdr:rowOff>76200</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300-000007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7</xdr:col>
      <xdr:colOff>838200</xdr:colOff>
      <xdr:row>1</xdr:row>
      <xdr:rowOff>95250</xdr:rowOff>
    </xdr:from>
    <xdr:to>
      <xdr:col>10</xdr:col>
      <xdr:colOff>264344</xdr:colOff>
      <xdr:row>3</xdr:row>
      <xdr:rowOff>266850</xdr:rowOff>
    </xdr:to>
    <xdr:pic>
      <xdr:nvPicPr>
        <xdr:cNvPr id="8" name="Image 7" descr="https://www.energir.com/~/media/Files/Corporatif/Logos/Energir_2C_PNG.png">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124575" y="295275"/>
          <a:ext cx="2083619" cy="781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57149</xdr:colOff>
      <xdr:row>0</xdr:row>
      <xdr:rowOff>85725</xdr:rowOff>
    </xdr:from>
    <xdr:to>
      <xdr:col>2</xdr:col>
      <xdr:colOff>816664</xdr:colOff>
      <xdr:row>3</xdr:row>
      <xdr:rowOff>124505</xdr:rowOff>
    </xdr:to>
    <xdr:pic>
      <xdr:nvPicPr>
        <xdr:cNvPr id="2" name="Imag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4" y="82550"/>
          <a:ext cx="1704975" cy="613455"/>
        </a:xfrm>
        <a:prstGeom prst="rect">
          <a:avLst/>
        </a:prstGeom>
      </xdr:spPr>
    </xdr:pic>
    <xdr:clientData/>
  </xdr:twoCellAnchor>
  <xdr:twoCellAnchor editAs="oneCell">
    <xdr:from>
      <xdr:col>17</xdr:col>
      <xdr:colOff>659434</xdr:colOff>
      <xdr:row>3</xdr:row>
      <xdr:rowOff>50939</xdr:rowOff>
    </xdr:from>
    <xdr:to>
      <xdr:col>22</xdr:col>
      <xdr:colOff>621924</xdr:colOff>
      <xdr:row>22</xdr:row>
      <xdr:rowOff>87935</xdr:rowOff>
    </xdr:to>
    <xdr:pic>
      <xdr:nvPicPr>
        <xdr:cNvPr id="3" name="Imag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13207586" y="622439"/>
          <a:ext cx="4546637" cy="372275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190501</xdr:colOff>
      <xdr:row>9</xdr:row>
      <xdr:rowOff>73026</xdr:rowOff>
    </xdr:from>
    <xdr:to>
      <xdr:col>12</xdr:col>
      <xdr:colOff>806450</xdr:colOff>
      <xdr:row>29</xdr:row>
      <xdr:rowOff>86009</xdr:rowOff>
    </xdr:to>
    <xdr:pic>
      <xdr:nvPicPr>
        <xdr:cNvPr id="2" name="Image 1" descr="Échantillons d’étiquettes CSA ENERGY STAR">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54026" y="1701801"/>
          <a:ext cx="3133724" cy="48707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47625</xdr:colOff>
      <xdr:row>8</xdr:row>
      <xdr:rowOff>168275</xdr:rowOff>
    </xdr:from>
    <xdr:to>
      <xdr:col>22</xdr:col>
      <xdr:colOff>84987</xdr:colOff>
      <xdr:row>63</xdr:row>
      <xdr:rowOff>103424</xdr:rowOff>
    </xdr:to>
    <xdr:pic>
      <xdr:nvPicPr>
        <xdr:cNvPr id="3" name="Imag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16249650" y="1673225"/>
          <a:ext cx="5904762" cy="10812699"/>
        </a:xfrm>
        <a:prstGeom prst="rect">
          <a:avLst/>
        </a:prstGeom>
      </xdr:spPr>
    </xdr:pic>
    <xdr:clientData/>
  </xdr:twoCellAnchor>
  <xdr:twoCellAnchor editAs="oneCell">
    <xdr:from>
      <xdr:col>25</xdr:col>
      <xdr:colOff>104775</xdr:colOff>
      <xdr:row>9</xdr:row>
      <xdr:rowOff>114300</xdr:rowOff>
    </xdr:from>
    <xdr:to>
      <xdr:col>35</xdr:col>
      <xdr:colOff>141823</xdr:colOff>
      <xdr:row>50</xdr:row>
      <xdr:rowOff>30702</xdr:rowOff>
    </xdr:to>
    <xdr:pic>
      <xdr:nvPicPr>
        <xdr:cNvPr id="4" name="Imag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25260300" y="1743075"/>
          <a:ext cx="8419048" cy="838095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73025</xdr:colOff>
      <xdr:row>0</xdr:row>
      <xdr:rowOff>0</xdr:rowOff>
    </xdr:from>
    <xdr:to>
      <xdr:col>17</xdr:col>
      <xdr:colOff>151320</xdr:colOff>
      <xdr:row>32</xdr:row>
      <xdr:rowOff>84327</xdr:rowOff>
    </xdr:to>
    <xdr:pic>
      <xdr:nvPicPr>
        <xdr:cNvPr id="2" name="Imag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11388725" y="0"/>
          <a:ext cx="8641270" cy="11184127"/>
        </a:xfrm>
        <a:prstGeom prst="rect">
          <a:avLst/>
        </a:prstGeom>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4-15T12:09:42.26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inkml:trace>
</inkml:ink>
</file>

<file path=xl/persons/person.xml><?xml version="1.0" encoding="utf-8"?>
<personList xmlns="http://schemas.microsoft.com/office/spreadsheetml/2018/threadedcomments" xmlns:x="http://schemas.openxmlformats.org/spreadsheetml/2006/main">
  <person displayName="Margaret Jackson" id="{09F73197-83E3-4D52-8B20-1C1E23EAD56E}" userId="1bf5b4bf9621b9fd" providerId="Windows Live"/>
  <person displayName="Côté Daniel" id="{E2F1924C-EADB-477D-A619-B2DFC4181673}" userId="S::daniel.cote@energir.com::deeb82f7-96ff-4749-b1c4-83157824f9e9" providerId="AD"/>
  <person displayName="Philippe Paquette" id="{E5E7FFC1-A964-43E3-B877-590C0A2D79F8}" userId="S::philippe.paquette@energir.com::8aaff728-b649-47c9-af13-100d66784b6d"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FC14FEA-04D5-4EDA-BFC9-6D42FCCB0ACD}" name="T_factures" displayName="T_factures" ref="C10:H34" totalsRowShown="0" headerRowDxfId="45" dataDxfId="44">
  <tableColumns count="6">
    <tableColumn id="1" xr3:uid="{6F46BC14-BAC4-42F2-9027-70A6846E44FE}" name="Measure" dataDxfId="43"/>
    <tableColumn id="2" xr3:uid="{B8DAF7BC-DEF4-48D7-9037-E02EC563EDBF}" name="Bill No." dataDxfId="42"/>
    <tableColumn id="3" xr3:uid="{41B712FC-13C8-4C82-9636-5F51492E5F1C}" name="Brief description" dataDxfId="41"/>
    <tableColumn id="4" xr3:uid="{AC52D76D-D0AB-4C57-8594-66AE10D617BC}" name="Total costs of bill_x000a_(before taxes)" dataDxfId="40"/>
    <tableColumn id="5" xr3:uid="{2C90BB38-3FC1-4AF4-974D-55CA35D79BFA}" name="% of costs of bill related to the measure" dataDxfId="39"/>
    <tableColumn id="6" xr3:uid="{C292631B-2841-4085-A1AF-DAA1CAA489F1}" name="Costs related to the measure" dataDxfId="38">
      <calculatedColumnFormula>T_factures[[#This Row],[Total costs of bill
(before taxes)]]*T_factures[[#This Row],[% of costs of bill related to the measure]]</calculatedColumnFormula>
    </tableColum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400BEDF-FFF6-48FB-ADB8-A981AE626C5F}" name="Bilan_factures" displayName="Bilan_factures" ref="C37:G41" totalsRowShown="0" headerRowDxfId="37" dataDxfId="36">
  <tableColumns count="5">
    <tableColumn id="1" xr3:uid="{95CAA912-8416-457F-BBD9-9316FAE25312}" name="Measure" dataDxfId="35"/>
    <tableColumn id="2" xr3:uid="{848131A7-79AF-4835-81D8-59C332105D2B}" name="Bill No." dataDxfId="34">
      <calculatedColumnFormula>COUNTIFS(T_factures[Measure],"=" &amp;Bilan_factures[[#This Row],[Measure]],T_factures[Costs related to the measure],"&gt;0")</calculatedColumnFormula>
    </tableColumn>
    <tableColumn id="3" xr3:uid="{2D3598C1-A359-4D56-9099-899F9DAE47C3}" name="Costs related to the measure" dataDxfId="33">
      <calculatedColumnFormula>SUMIF(T_factures[Measure],"="&amp;Bilan_factures[[#This Row],[Measure]],T_factures[Costs related to the measure])</calculatedColumnFormula>
    </tableColumn>
    <tableColumn id="4" xr3:uid="{A28872EC-37F0-4F44-9BD5-B4CDE5425599}" name="% of eligible costs" dataDxfId="32">
      <calculatedColumnFormula>IFERROR(VLOOKUP(Bilan_factures[[#This Row],[Measure]],Contrôle!$AH$3:$AI$7,2,FALSE),0)</calculatedColumnFormula>
    </tableColumn>
    <tableColumn id="5" xr3:uid="{DC3066C0-F415-4929-863B-9277BF465B50}" name="Eligible costs" dataDxfId="31">
      <calculatedColumnFormula>Bilan_factures[[#This Row],[Costs related to the measure]]*Bilan_factures[[#This Row],[% of eligible costs]]</calculatedColumnFormula>
    </tableColumn>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72ECD2A-0926-4080-9CAB-4DFCD278E0D0}" name="Tableau1" displayName="Tableau1" ref="A9:G12" totalsRowShown="0">
  <autoFilter ref="A9:G12" xr:uid="{0C2C1A9E-C52B-4DBC-BDA7-F87C4B835A96}"/>
  <tableColumns count="7">
    <tableColumn id="1" xr3:uid="{7E05E9E0-188B-41B8-8B12-F178786D5DF3}" name="Condition fenêtres" dataDxfId="30"/>
    <tableColumn id="2" xr3:uid="{6785D620-47D3-4DFD-BBE8-7800E78296BF}" name="RE " dataDxfId="29">
      <calculatedColumnFormula>SUMPRODUCT($C$5:$F$5,C10:F10)</calculatedColumnFormula>
    </tableColumn>
    <tableColumn id="3" xr3:uid="{83B14CBA-455A-4391-A689-C7CC31D59F3F}" name="CGCS*" dataDxfId="28"/>
    <tableColumn id="4" xr3:uid="{5F44F32C-0F99-441E-B472-E33263DE3CA5}" name="Uw"/>
    <tableColumn id="5" xr3:uid="{067A9110-4DA3-4088-9DA7-4D2549184170}" name="L75" dataDxfId="27"/>
    <tableColumn id="6" xr3:uid="{FA039E08-12D4-4FDA-815A-A30A03B01359}" name="B" dataDxfId="26"/>
    <tableColumn id="7" xr3:uid="{B23BF486-4464-42B0-9A2B-E291E57AEB81}" name="Commentaires"/>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B0D38628-BDD3-40E9-9905-EDF4E2C2A506}" name="Tableau2" displayName="Tableau2" ref="C4:F5" totalsRowShown="0">
  <autoFilter ref="C4:F5" xr:uid="{EDBEE3AB-A3E3-4653-837C-AA58670256E8}"/>
  <tableColumns count="4">
    <tableColumn id="1" xr3:uid="{A1D75097-CD84-4C64-8423-9D554192D83C}" name="B_CGCS"/>
    <tableColumn id="2" xr3:uid="{A314FB15-B0CC-4043-B748-34F92E2CB479}" name="B_Uw"/>
    <tableColumn id="3" xr3:uid="{5AEC5F71-862A-4FF6-82C4-941BF2A57F57}" name="B_L75"/>
    <tableColumn id="4" xr3:uid="{0C8D98CA-F840-43FD-AB57-744D6F59C18A}" name="B0"/>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EBA415A-E873-46A7-BB61-898CFDFD6D2B}" name="T_autres_mesures" displayName="T_autres_mesures" ref="B25:E35" totalsRowShown="0" dataDxfId="25">
  <autoFilter ref="B25:E35" xr:uid="{5F5A620A-669D-4D69-9D9D-0FC6216FC856}"/>
  <tableColumns count="4">
    <tableColumn id="1" xr3:uid="{87BC630B-C11A-4571-AD71-BCA3D1F76053}" name="Sous-mesure" dataDxfId="24"/>
    <tableColumn id="2" xr3:uid="{4D09FF83-D8F1-4B4C-A210-19ED355718CE}" name="Unité" dataDxfId="23"/>
    <tableColumn id="3" xr3:uid="{E8E7355D-884A-4EB6-AAB1-5367DB6FA295}" name="Économies normalisées*" dataDxfId="22"/>
    <tableColumn id="4" xr3:uid="{E37D1133-DA7C-4EF7-89BB-977FEA500174}" name="Crédit" dataDxfId="21"/>
  </tableColumns>
  <tableStyleInfo name="TableStyleMedium2" showFirstColumn="0" showLastColumn="0" showRowStripes="1" showColumnStripes="0"/>
</table>
</file>

<file path=xl/theme/theme1.xml><?xml version="1.0" encoding="utf-8"?>
<a:theme xmlns:a="http://schemas.openxmlformats.org/drawingml/2006/main" name="Thème Office">
  <a:themeElements>
    <a:clrScheme name="Energir_Juin2020">
      <a:dk1>
        <a:srgbClr val="002855"/>
      </a:dk1>
      <a:lt1>
        <a:srgbClr val="FFFFFF"/>
      </a:lt1>
      <a:dk2>
        <a:srgbClr val="002855"/>
      </a:dk2>
      <a:lt2>
        <a:srgbClr val="DAEEF4"/>
      </a:lt2>
      <a:accent1>
        <a:srgbClr val="009FDF"/>
      </a:accent1>
      <a:accent2>
        <a:srgbClr val="002855"/>
      </a:accent2>
      <a:accent3>
        <a:srgbClr val="0047BB"/>
      </a:accent3>
      <a:accent4>
        <a:srgbClr val="95D5F5"/>
      </a:accent4>
      <a:accent5>
        <a:srgbClr val="71CC98"/>
      </a:accent5>
      <a:accent6>
        <a:srgbClr val="8173B0"/>
      </a:accent6>
      <a:hlink>
        <a:srgbClr val="009FDF"/>
      </a:hlink>
      <a:folHlink>
        <a:srgbClr val="8173B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5" dT="2020-05-11T17:16:57.87" personId="{E5E7FFC1-A964-43E3-B877-590C0A2D79F8}" id="{2A03F165-2995-4534-90B5-C227E92BDD7E}">
    <text>À finaliser en fonction des commentaires</text>
  </threadedComment>
  <threadedComment ref="H18" dT="2020-05-12T15:53:39.34" personId="{E2F1924C-EADB-477D-A619-B2DFC4181673}" id="{102927DD-8D36-41C6-9DD5-0011B1E81B56}">
    <text>À corriger</text>
  </threadedComment>
  <threadedComment ref="H18" dT="2020-05-13T12:54:54.61" personId="{E5E7FFC1-A964-43E3-B877-590C0A2D79F8}" id="{23AAB7A3-4B82-4A88-AB9B-59A0FA422597}" parentId="{102927DD-8D36-41C6-9DD5-0011B1E81B56}">
    <text>Propose que le champ puisse être rempli à titre indicatif</text>
  </threadedComment>
  <threadedComment ref="H19" dT="2020-05-13T12:55:32.44" personId="{E5E7FFC1-A964-43E3-B877-590C0A2D79F8}" id="{C36A4700-EAEC-49EA-A7D9-AF00585F3DA4}">
    <text>Serait changé ici au besoin</text>
  </threadedComment>
</ThreadedComments>
</file>

<file path=xl/threadedComments/threadedComment2.xml><?xml version="1.0" encoding="utf-8"?>
<ThreadedComments xmlns="http://schemas.microsoft.com/office/spreadsheetml/2018/threadedcomments" xmlns:x="http://schemas.openxmlformats.org/spreadsheetml/2006/main">
  <threadedComment ref="E71" dT="2020-05-11T16:51:48.82" personId="{E5E7FFC1-A964-43E3-B877-590C0A2D79F8}" id="{3C61A203-136B-4C8D-8278-B728DE5AECF2}">
    <text>À vérifier quel efficacité mettre de base</text>
  </threadedComment>
</ThreadedComments>
</file>

<file path=xl/threadedComments/threadedComment3.xml><?xml version="1.0" encoding="utf-8"?>
<ThreadedComments xmlns="http://schemas.microsoft.com/office/spreadsheetml/2018/threadedcomments" xmlns:x="http://schemas.openxmlformats.org/spreadsheetml/2006/main">
  <threadedComment ref="S5" dT="2020-06-18T16:08:33.23" personId="{09F73197-83E3-4D52-8B20-1C1E23EAD56E}" id="{1D16269B-40DA-49AF-AD29-6871B58CA413}">
    <text>Evaluation: Form PE233/G74, G76, G77
No formatting G74
No formatting G76
No formatting G77</text>
  </threadedComment>
  <threadedComment ref="S5" dT="2020-07-06T15:16:45.96" personId="{E5E7FFC1-A964-43E3-B877-590C0A2D79F8}" id="{38869F9B-7FF2-49B0-BA43-2A4C7F57F81D}" parentId="{1D16269B-40DA-49AF-AD29-6871B58CA413}">
    <text>pas nécessaire merci</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10.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6.xml"/><Relationship Id="rId7" Type="http://schemas.openxmlformats.org/officeDocument/2006/relationships/comments" Target="../comments4.xml"/><Relationship Id="rId2" Type="http://schemas.openxmlformats.org/officeDocument/2006/relationships/customProperty" Target="../customProperty11.bin"/><Relationship Id="rId1" Type="http://schemas.openxmlformats.org/officeDocument/2006/relationships/hyperlink" Target="https://www.rncan.gc.ca/efficacite-energetique/nouvelles-energy-star/ressources-pour-les-participants/specifications-techniques/portes-fenetres-et-puits-de-lumiere-specifications-techniques-energy-star-canada/20951" TargetMode="External"/><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vmlDrawing" Target="../drawings/vmlDrawing6.v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customProperty" Target="../customProperty12.bin"/><Relationship Id="rId1" Type="http://schemas.openxmlformats.org/officeDocument/2006/relationships/printerSettings" Target="../printerSettings/printerSettings10.bin"/><Relationship Id="rId4" Type="http://schemas.openxmlformats.org/officeDocument/2006/relationships/comments" Target="../comments5.xml"/></Relationships>
</file>

<file path=xl/worksheets/_rels/sheet14.xml.rels><?xml version="1.0" encoding="UTF-8" standalone="yes"?>
<Relationships xmlns="http://schemas.openxmlformats.org/package/2006/relationships"><Relationship Id="rId1" Type="http://schemas.openxmlformats.org/officeDocument/2006/relationships/customProperty" Target="../customProperty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customProperty" Target="../customProperty14.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9.vml"/><Relationship Id="rId1" Type="http://schemas.openxmlformats.org/officeDocument/2006/relationships/customProperty" Target="../customProperty16.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18.bin"/><Relationship Id="rId1" Type="http://schemas.openxmlformats.org/officeDocument/2006/relationships/printerSettings" Target="../printerSettings/printerSettings13.bin"/><Relationship Id="rId6" Type="http://schemas.openxmlformats.org/officeDocument/2006/relationships/comments" Target="../comments8.xml"/><Relationship Id="rId5" Type="http://schemas.openxmlformats.org/officeDocument/2006/relationships/table" Target="../tables/table5.xml"/><Relationship Id="rId4" Type="http://schemas.openxmlformats.org/officeDocument/2006/relationships/vmlDrawing" Target="../drawings/vmlDrawing10.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1.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2.bin"/><Relationship Id="rId1" Type="http://schemas.openxmlformats.org/officeDocument/2006/relationships/printerSettings" Target="../printerSettings/printerSettings3.bin"/><Relationship Id="rId5" Type="http://schemas.openxmlformats.org/officeDocument/2006/relationships/table" Target="../tables/table2.xml"/><Relationship Id="rId4" Type="http://schemas.openxmlformats.org/officeDocument/2006/relationships/table" Target="../tables/table1.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8.xml"/><Relationship Id="rId3" Type="http://schemas.openxmlformats.org/officeDocument/2006/relationships/drawing" Target="../drawings/drawing4.xml"/><Relationship Id="rId7" Type="http://schemas.openxmlformats.org/officeDocument/2006/relationships/ctrlProp" Target="../ctrlProps/ctrlProp7.xml"/><Relationship Id="rId2" Type="http://schemas.openxmlformats.org/officeDocument/2006/relationships/customProperty" Target="../customProperty3.bin"/><Relationship Id="rId1" Type="http://schemas.openxmlformats.org/officeDocument/2006/relationships/printerSettings" Target="../printerSettings/printerSettings4.bin"/><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vmlDrawing" Target="../drawings/vmlDrawing2.vml"/><Relationship Id="rId9" Type="http://schemas.openxmlformats.org/officeDocument/2006/relationships/ctrlProp" Target="../ctrlProps/ctrlProp9.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4.bin"/><Relationship Id="rId1" Type="http://schemas.openxmlformats.org/officeDocument/2006/relationships/printerSettings" Target="../printerSettings/printerSettings5.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customProperty" Target="../customProperty5.bin"/><Relationship Id="rId1" Type="http://schemas.openxmlformats.org/officeDocument/2006/relationships/printerSettings" Target="../printerSettings/printerSettings6.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customProperty" Target="../customProperty6.bin"/><Relationship Id="rId1" Type="http://schemas.openxmlformats.org/officeDocument/2006/relationships/printerSettings" Target="../printerSettings/printerSettings7.bin"/><Relationship Id="rId5" Type="http://schemas.microsoft.com/office/2017/10/relationships/threadedComment" Target="../threadedComments/threadedComment3.xml"/><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78228-4DB5-4549-A953-DDA1093207E2}">
  <dimension ref="A1:Q97"/>
  <sheetViews>
    <sheetView showGridLines="0" tabSelected="1" zoomScaleNormal="100" zoomScaleSheetLayoutView="100" workbookViewId="0">
      <selection activeCell="F80" sqref="F80"/>
    </sheetView>
  </sheetViews>
  <sheetFormatPr baseColWidth="10" defaultColWidth="11" defaultRowHeight="14.25" x14ac:dyDescent="0.2"/>
  <cols>
    <col min="1" max="1" width="2.625" customWidth="1"/>
    <col min="2" max="2" width="2.875" customWidth="1"/>
    <col min="3" max="7" width="13.625" customWidth="1"/>
    <col min="8" max="8" width="14.5" customWidth="1"/>
    <col min="9" max="12" width="13.625" customWidth="1"/>
    <col min="13" max="13" width="2.625" customWidth="1"/>
  </cols>
  <sheetData>
    <row r="1" spans="2:17" s="25" customFormat="1" ht="15" customHeight="1" x14ac:dyDescent="0.3">
      <c r="E1" s="201"/>
      <c r="F1" s="201"/>
      <c r="G1" s="201"/>
      <c r="H1" s="201"/>
      <c r="I1" s="201"/>
      <c r="J1" s="201"/>
      <c r="K1" s="201"/>
      <c r="L1" s="201"/>
    </row>
    <row r="2" spans="2:17" s="25" customFormat="1" ht="24.95" customHeight="1" x14ac:dyDescent="0.3">
      <c r="C2" s="202" t="s">
        <v>0</v>
      </c>
      <c r="D2" s="203"/>
      <c r="E2" s="202"/>
      <c r="F2" s="201"/>
      <c r="G2" s="201"/>
      <c r="H2" s="201"/>
      <c r="I2" s="201"/>
      <c r="J2" s="201"/>
      <c r="K2" s="201"/>
      <c r="L2" s="201"/>
    </row>
    <row r="3" spans="2:17" s="25" customFormat="1" ht="24.75" customHeight="1" x14ac:dyDescent="0.3">
      <c r="C3" s="204" t="s">
        <v>1</v>
      </c>
      <c r="D3" s="203"/>
      <c r="E3" s="202"/>
      <c r="F3" s="201"/>
      <c r="G3" s="201"/>
      <c r="H3" s="201"/>
      <c r="I3" s="201"/>
      <c r="J3" s="201"/>
      <c r="K3" s="201"/>
      <c r="L3" s="201"/>
    </row>
    <row r="4" spans="2:17" s="25" customFormat="1" ht="24.95" customHeight="1" x14ac:dyDescent="0.3">
      <c r="C4" s="205" t="s">
        <v>2</v>
      </c>
      <c r="D4" s="203"/>
      <c r="E4" s="202"/>
      <c r="F4" s="201"/>
      <c r="G4" s="201"/>
      <c r="H4" s="201"/>
      <c r="I4" s="201"/>
      <c r="J4" s="201"/>
      <c r="K4" s="201"/>
      <c r="L4" s="201"/>
    </row>
    <row r="5" spans="2:17" s="25" customFormat="1" x14ac:dyDescent="0.2">
      <c r="B5" s="30"/>
      <c r="C5" s="29"/>
      <c r="D5" s="29"/>
      <c r="E5" s="29"/>
      <c r="F5" s="29"/>
      <c r="G5" s="29"/>
      <c r="H5" s="29"/>
      <c r="I5" s="29"/>
      <c r="J5" s="29"/>
      <c r="K5" s="29"/>
      <c r="L5" s="29"/>
    </row>
    <row r="6" spans="2:17" s="25" customFormat="1" ht="9.6" customHeight="1" thickBot="1" x14ac:dyDescent="0.25">
      <c r="B6" s="206"/>
      <c r="C6" s="206"/>
      <c r="D6" s="206"/>
      <c r="E6" s="206"/>
      <c r="F6" s="206"/>
      <c r="G6" s="206"/>
      <c r="H6" s="206"/>
      <c r="I6" s="206"/>
      <c r="J6" s="206"/>
      <c r="K6" s="206"/>
      <c r="L6" s="206"/>
      <c r="M6" s="206"/>
    </row>
    <row r="7" spans="2:17" s="25" customFormat="1" ht="15" customHeight="1" thickBot="1" x14ac:dyDescent="0.25">
      <c r="B7" s="206"/>
      <c r="C7" s="206" t="s">
        <v>3</v>
      </c>
      <c r="D7" s="207"/>
      <c r="E7" s="387"/>
      <c r="F7" s="388"/>
      <c r="G7" s="388"/>
      <c r="H7" s="388"/>
      <c r="I7" s="388"/>
      <c r="J7" s="389"/>
      <c r="K7" s="206"/>
      <c r="L7" s="206"/>
      <c r="M7" s="206"/>
    </row>
    <row r="8" spans="2:17" s="25" customFormat="1" ht="9.6" customHeight="1" x14ac:dyDescent="0.2">
      <c r="B8" s="206"/>
      <c r="C8" s="206"/>
      <c r="D8" s="206"/>
      <c r="E8" s="206"/>
      <c r="F8" s="206"/>
      <c r="G8" s="206"/>
      <c r="H8" s="206"/>
      <c r="I8" s="206"/>
      <c r="J8" s="206"/>
      <c r="K8" s="206"/>
      <c r="L8" s="206"/>
      <c r="M8" s="206"/>
    </row>
    <row r="9" spans="2:17" s="25" customFormat="1" ht="14.25" customHeight="1" x14ac:dyDescent="0.3">
      <c r="E9" s="201"/>
      <c r="F9" s="201"/>
      <c r="G9" s="201"/>
      <c r="H9" s="201"/>
      <c r="I9" s="201"/>
      <c r="J9" s="201"/>
      <c r="K9" s="201"/>
      <c r="L9" s="201"/>
    </row>
    <row r="10" spans="2:17" s="25" customFormat="1" ht="6.6" customHeight="1" x14ac:dyDescent="0.2">
      <c r="B10" s="206"/>
      <c r="C10" s="206"/>
      <c r="D10" s="206"/>
      <c r="E10" s="206"/>
      <c r="F10" s="206"/>
      <c r="G10" s="206"/>
      <c r="H10" s="206"/>
      <c r="I10" s="206"/>
      <c r="J10" s="206"/>
      <c r="K10" s="206"/>
      <c r="L10" s="206"/>
      <c r="M10" s="206"/>
    </row>
    <row r="11" spans="2:17" s="25" customFormat="1" ht="71.25" customHeight="1" x14ac:dyDescent="0.25">
      <c r="B11" s="208"/>
      <c r="C11" s="406" t="s">
        <v>4</v>
      </c>
      <c r="D11" s="406"/>
      <c r="E11" s="406"/>
      <c r="F11" s="406"/>
      <c r="G11" s="406"/>
      <c r="H11" s="406"/>
      <c r="I11" s="406"/>
      <c r="J11" s="406"/>
      <c r="K11" s="406"/>
      <c r="L11" s="406"/>
      <c r="M11" s="208"/>
    </row>
    <row r="12" spans="2:17" s="25" customFormat="1" ht="14.25" customHeight="1" x14ac:dyDescent="0.3">
      <c r="E12" s="201"/>
      <c r="F12" s="201"/>
      <c r="G12" s="201"/>
      <c r="H12" s="201"/>
      <c r="I12" s="201"/>
      <c r="J12" s="201"/>
      <c r="K12" s="201"/>
      <c r="L12" s="201"/>
    </row>
    <row r="13" spans="2:17" s="25" customFormat="1" ht="15" customHeight="1" x14ac:dyDescent="0.25">
      <c r="B13" s="209"/>
      <c r="C13" s="210" t="s">
        <v>5</v>
      </c>
      <c r="D13" s="209"/>
      <c r="E13" s="209"/>
      <c r="F13" s="209"/>
      <c r="G13" s="209"/>
      <c r="H13" s="209"/>
      <c r="I13" s="209"/>
      <c r="J13" s="209"/>
      <c r="K13" s="209"/>
      <c r="L13" s="209"/>
      <c r="M13" s="209"/>
      <c r="N13" s="27"/>
      <c r="O13" s="27"/>
      <c r="P13" s="27"/>
      <c r="Q13" s="27"/>
    </row>
    <row r="14" spans="2:17" s="25" customFormat="1" ht="40.5" customHeight="1" x14ac:dyDescent="0.25">
      <c r="B14" s="211"/>
      <c r="C14" s="395" t="s">
        <v>6</v>
      </c>
      <c r="D14" s="395"/>
      <c r="E14" s="395"/>
      <c r="F14" s="395"/>
      <c r="G14" s="395"/>
      <c r="H14" s="395"/>
      <c r="I14" s="395"/>
      <c r="J14" s="395"/>
      <c r="K14" s="395"/>
      <c r="L14" s="395"/>
      <c r="M14" s="208"/>
      <c r="N14" s="26"/>
      <c r="O14" s="26"/>
      <c r="P14" s="26"/>
      <c r="Q14" s="26"/>
    </row>
    <row r="15" spans="2:17" s="25" customFormat="1" ht="3" customHeight="1" x14ac:dyDescent="0.25">
      <c r="B15" s="208"/>
      <c r="C15" s="351"/>
      <c r="D15" s="351"/>
      <c r="E15" s="351"/>
      <c r="F15" s="351"/>
      <c r="G15" s="351"/>
      <c r="H15" s="351"/>
      <c r="I15" s="351"/>
      <c r="J15" s="351"/>
      <c r="K15" s="351"/>
      <c r="L15" s="351"/>
      <c r="M15" s="208"/>
      <c r="N15" s="26"/>
      <c r="O15" s="26"/>
      <c r="P15" s="26"/>
      <c r="Q15" s="26"/>
    </row>
    <row r="16" spans="2:17" s="25" customFormat="1" ht="15" customHeight="1" x14ac:dyDescent="0.25">
      <c r="B16" s="208"/>
      <c r="C16" s="212" t="s">
        <v>7</v>
      </c>
      <c r="D16" s="213"/>
      <c r="E16" s="213"/>
      <c r="F16" s="213"/>
      <c r="G16" s="213"/>
      <c r="H16" s="213"/>
      <c r="I16" s="213"/>
      <c r="J16" s="213"/>
      <c r="K16" s="213"/>
      <c r="L16" s="213"/>
      <c r="M16" s="208"/>
      <c r="N16" s="26"/>
      <c r="O16" s="26"/>
      <c r="P16" s="26"/>
      <c r="Q16" s="26"/>
    </row>
    <row r="17" spans="2:17" s="25" customFormat="1" ht="6.6" customHeight="1" x14ac:dyDescent="0.25">
      <c r="B17" s="208"/>
      <c r="C17" s="212"/>
      <c r="D17" s="213"/>
      <c r="E17" s="213"/>
      <c r="F17" s="213"/>
      <c r="G17" s="213"/>
      <c r="H17" s="213"/>
      <c r="I17" s="213"/>
      <c r="J17" s="213"/>
      <c r="K17" s="213"/>
      <c r="L17" s="213"/>
      <c r="M17" s="208"/>
      <c r="N17" s="26"/>
      <c r="O17" s="26"/>
      <c r="P17" s="26"/>
      <c r="Q17" s="26"/>
    </row>
    <row r="18" spans="2:17" s="25" customFormat="1" ht="15" customHeight="1" x14ac:dyDescent="0.25">
      <c r="B18" s="208"/>
      <c r="C18" s="351"/>
      <c r="D18" s="214" t="s">
        <v>8</v>
      </c>
      <c r="E18" s="351"/>
      <c r="F18" s="351"/>
      <c r="G18" s="351"/>
      <c r="H18" s="351"/>
      <c r="I18" s="351"/>
      <c r="J18" s="351"/>
      <c r="K18" s="351"/>
      <c r="L18" s="351"/>
      <c r="M18" s="208"/>
      <c r="N18" s="26"/>
      <c r="O18" s="26"/>
      <c r="P18" s="26"/>
      <c r="Q18" s="26"/>
    </row>
    <row r="19" spans="2:17" s="25" customFormat="1" ht="6.6" customHeight="1" x14ac:dyDescent="0.25">
      <c r="B19" s="208"/>
      <c r="C19" s="212"/>
      <c r="D19" s="213"/>
      <c r="E19" s="213"/>
      <c r="F19" s="213"/>
      <c r="G19" s="213"/>
      <c r="H19" s="213"/>
      <c r="I19" s="213"/>
      <c r="J19" s="213"/>
      <c r="K19" s="213"/>
      <c r="L19" s="213"/>
      <c r="M19" s="208"/>
      <c r="N19" s="26"/>
      <c r="O19" s="26"/>
      <c r="P19" s="26"/>
      <c r="Q19" s="26"/>
    </row>
    <row r="20" spans="2:17" s="25" customFormat="1" ht="15" customHeight="1" x14ac:dyDescent="0.25">
      <c r="B20" s="208"/>
      <c r="C20" s="212" t="s">
        <v>9</v>
      </c>
      <c r="D20" s="213"/>
      <c r="E20" s="213"/>
      <c r="F20" s="213"/>
      <c r="G20" s="213"/>
      <c r="H20" s="213"/>
      <c r="I20" s="213"/>
      <c r="J20" s="213"/>
      <c r="K20" s="213"/>
      <c r="L20" s="213"/>
      <c r="M20" s="208"/>
      <c r="N20" s="26"/>
      <c r="O20" s="26"/>
      <c r="P20" s="26"/>
      <c r="Q20" s="26"/>
    </row>
    <row r="21" spans="2:17" s="25" customFormat="1" ht="6.6" customHeight="1" x14ac:dyDescent="0.25">
      <c r="B21" s="208"/>
      <c r="C21" s="212"/>
      <c r="D21" s="213"/>
      <c r="E21" s="213"/>
      <c r="F21" s="213"/>
      <c r="G21" s="213"/>
      <c r="H21" s="213"/>
      <c r="I21" s="213"/>
      <c r="J21" s="213"/>
      <c r="K21" s="213"/>
      <c r="L21" s="213"/>
      <c r="M21" s="208"/>
      <c r="N21" s="26"/>
      <c r="O21" s="26"/>
      <c r="P21" s="26"/>
      <c r="Q21" s="26"/>
    </row>
    <row r="22" spans="2:17" s="25" customFormat="1" ht="15" customHeight="1" x14ac:dyDescent="0.25">
      <c r="B22" s="208"/>
      <c r="C22" s="351"/>
      <c r="D22" s="214" t="s">
        <v>10</v>
      </c>
      <c r="E22" s="351"/>
      <c r="F22" s="351"/>
      <c r="G22" s="351"/>
      <c r="H22" s="351"/>
      <c r="I22" s="351"/>
      <c r="J22" s="351"/>
      <c r="K22" s="351"/>
      <c r="L22" s="351"/>
      <c r="M22" s="208"/>
      <c r="N22" s="26"/>
      <c r="O22" s="26"/>
      <c r="P22" s="26"/>
      <c r="Q22" s="26"/>
    </row>
    <row r="23" spans="2:17" s="25" customFormat="1" ht="6.6" customHeight="1" x14ac:dyDescent="0.25">
      <c r="B23" s="208"/>
      <c r="C23" s="212"/>
      <c r="D23" s="213"/>
      <c r="E23" s="213"/>
      <c r="F23" s="213"/>
      <c r="G23" s="213"/>
      <c r="H23" s="213"/>
      <c r="I23" s="213"/>
      <c r="J23" s="213"/>
      <c r="K23" s="213"/>
      <c r="L23" s="213"/>
      <c r="M23" s="208"/>
      <c r="N23" s="26"/>
      <c r="O23" s="26"/>
      <c r="P23" s="26"/>
      <c r="Q23" s="26"/>
    </row>
    <row r="24" spans="2:17" s="25" customFormat="1" ht="15" customHeight="1" x14ac:dyDescent="0.25">
      <c r="B24" s="208"/>
      <c r="C24" s="212" t="s">
        <v>11</v>
      </c>
      <c r="D24" s="213"/>
      <c r="E24" s="213"/>
      <c r="F24" s="213"/>
      <c r="G24" s="213"/>
      <c r="H24" s="213"/>
      <c r="I24" s="213"/>
      <c r="J24" s="213"/>
      <c r="K24" s="213"/>
      <c r="L24" s="213"/>
      <c r="M24" s="208"/>
      <c r="N24" s="26"/>
      <c r="O24" s="26"/>
      <c r="P24" s="26"/>
      <c r="Q24" s="26"/>
    </row>
    <row r="25" spans="2:17" s="25" customFormat="1" ht="6.6" customHeight="1" x14ac:dyDescent="0.25">
      <c r="B25" s="208"/>
      <c r="C25" s="212"/>
      <c r="D25" s="213"/>
      <c r="E25" s="213"/>
      <c r="F25" s="213"/>
      <c r="G25" s="213"/>
      <c r="H25" s="213"/>
      <c r="I25" s="213"/>
      <c r="J25" s="213"/>
      <c r="K25" s="213"/>
      <c r="L25" s="213"/>
      <c r="M25" s="208"/>
      <c r="N25" s="26"/>
      <c r="O25" s="26"/>
      <c r="P25" s="26"/>
      <c r="Q25" s="26"/>
    </row>
    <row r="26" spans="2:17" s="25" customFormat="1" ht="15" customHeight="1" x14ac:dyDescent="0.25">
      <c r="B26" s="208"/>
      <c r="C26" s="351"/>
      <c r="D26" s="214" t="s">
        <v>12</v>
      </c>
      <c r="E26" s="351"/>
      <c r="F26" s="351"/>
      <c r="G26" s="351"/>
      <c r="H26" s="351"/>
      <c r="I26" s="351"/>
      <c r="J26" s="351"/>
      <c r="K26" s="351"/>
      <c r="L26" s="351"/>
      <c r="M26" s="208"/>
      <c r="N26" s="26"/>
      <c r="O26" s="26"/>
      <c r="P26" s="26"/>
      <c r="Q26" s="26"/>
    </row>
    <row r="27" spans="2:17" s="25" customFormat="1" ht="6.6" customHeight="1" x14ac:dyDescent="0.25">
      <c r="B27" s="208"/>
      <c r="C27" s="212"/>
      <c r="D27" s="213"/>
      <c r="E27" s="213"/>
      <c r="F27" s="213"/>
      <c r="G27" s="213"/>
      <c r="H27" s="213"/>
      <c r="I27" s="213"/>
      <c r="J27" s="213"/>
      <c r="K27" s="213"/>
      <c r="L27" s="213"/>
      <c r="M27" s="208"/>
      <c r="N27" s="26"/>
      <c r="O27" s="26"/>
      <c r="P27" s="26"/>
      <c r="Q27" s="26"/>
    </row>
    <row r="28" spans="2:17" s="25" customFormat="1" ht="15" customHeight="1" x14ac:dyDescent="0.25">
      <c r="B28" s="208"/>
      <c r="C28" s="212" t="s">
        <v>13</v>
      </c>
      <c r="D28" s="213"/>
      <c r="E28" s="213"/>
      <c r="F28" s="213"/>
      <c r="G28" s="213"/>
      <c r="H28" s="213"/>
      <c r="I28" s="213"/>
      <c r="J28" s="213"/>
      <c r="K28" s="213"/>
      <c r="L28" s="213"/>
      <c r="M28" s="208"/>
      <c r="N28" s="26"/>
      <c r="O28" s="26"/>
      <c r="P28" s="26"/>
      <c r="Q28" s="26"/>
    </row>
    <row r="29" spans="2:17" s="25" customFormat="1" ht="6.6" customHeight="1" x14ac:dyDescent="0.25">
      <c r="B29" s="208"/>
      <c r="C29" s="212"/>
      <c r="D29" s="213"/>
      <c r="E29" s="213"/>
      <c r="F29" s="213"/>
      <c r="G29" s="213"/>
      <c r="H29" s="213"/>
      <c r="I29" s="213"/>
      <c r="J29" s="213"/>
      <c r="K29" s="213"/>
      <c r="L29" s="213"/>
      <c r="M29" s="208"/>
      <c r="N29" s="26"/>
      <c r="O29" s="26"/>
      <c r="P29" s="26"/>
      <c r="Q29" s="26"/>
    </row>
    <row r="30" spans="2:17" s="25" customFormat="1" ht="15" customHeight="1" x14ac:dyDescent="0.25">
      <c r="B30" s="208"/>
      <c r="C30" s="351"/>
      <c r="D30" s="214" t="s">
        <v>14</v>
      </c>
      <c r="E30" s="351"/>
      <c r="F30" s="351"/>
      <c r="G30" s="351"/>
      <c r="H30" s="351"/>
      <c r="I30" s="351"/>
      <c r="J30" s="351"/>
      <c r="K30" s="351"/>
      <c r="L30" s="351"/>
      <c r="M30" s="208"/>
      <c r="N30" s="26"/>
      <c r="O30" s="26"/>
      <c r="P30" s="26"/>
      <c r="Q30" s="26"/>
    </row>
    <row r="31" spans="2:17" s="25" customFormat="1" ht="15" customHeight="1" thickBot="1" x14ac:dyDescent="0.3">
      <c r="B31" s="208"/>
      <c r="C31" s="351"/>
      <c r="D31" s="214"/>
      <c r="E31" s="351"/>
      <c r="F31" s="351"/>
      <c r="G31" s="351"/>
      <c r="H31" s="351"/>
      <c r="I31" s="351"/>
      <c r="J31" s="351"/>
      <c r="K31" s="351"/>
      <c r="L31" s="351"/>
      <c r="M31" s="208"/>
      <c r="N31" s="26"/>
      <c r="O31" s="26"/>
      <c r="P31" s="26"/>
      <c r="Q31" s="26"/>
    </row>
    <row r="32" spans="2:17" s="25" customFormat="1" x14ac:dyDescent="0.2">
      <c r="B32" s="215"/>
      <c r="C32" s="216"/>
      <c r="D32" s="217"/>
      <c r="E32" s="218"/>
      <c r="F32" s="218"/>
      <c r="G32" s="218"/>
      <c r="H32" s="218"/>
      <c r="I32" s="219"/>
      <c r="J32" s="219"/>
      <c r="K32" s="219"/>
      <c r="L32" s="220"/>
      <c r="M32" s="215"/>
    </row>
    <row r="33" spans="2:17" s="25" customFormat="1" ht="66.599999999999994" customHeight="1" x14ac:dyDescent="0.25">
      <c r="B33" s="208"/>
      <c r="C33" s="396" t="s">
        <v>15</v>
      </c>
      <c r="D33" s="396"/>
      <c r="E33" s="396"/>
      <c r="F33" s="396"/>
      <c r="G33" s="396"/>
      <c r="H33" s="396"/>
      <c r="I33" s="396"/>
      <c r="J33" s="396"/>
      <c r="K33" s="396"/>
      <c r="L33" s="396"/>
      <c r="M33" s="208"/>
      <c r="N33" s="26"/>
      <c r="O33" s="26"/>
      <c r="P33" s="26"/>
      <c r="Q33" s="26"/>
    </row>
    <row r="34" spans="2:17" s="25" customFormat="1" ht="6.6" customHeight="1" x14ac:dyDescent="0.25">
      <c r="B34" s="208"/>
      <c r="C34" s="351"/>
      <c r="D34" s="351"/>
      <c r="E34" s="351"/>
      <c r="F34" s="351"/>
      <c r="G34" s="351"/>
      <c r="H34" s="351"/>
      <c r="I34" s="351"/>
      <c r="J34" s="351"/>
      <c r="K34" s="351"/>
      <c r="L34" s="351"/>
      <c r="M34" s="208"/>
      <c r="N34" s="26"/>
      <c r="O34" s="26"/>
      <c r="P34" s="26"/>
      <c r="Q34" s="26"/>
    </row>
    <row r="35" spans="2:17" s="25" customFormat="1" x14ac:dyDescent="0.2">
      <c r="B35" s="30"/>
      <c r="C35" s="29"/>
      <c r="D35" s="29"/>
      <c r="E35" s="29"/>
      <c r="F35" s="29"/>
      <c r="G35" s="29"/>
      <c r="H35" s="29"/>
      <c r="I35" s="29"/>
      <c r="J35" s="29"/>
      <c r="K35" s="29"/>
      <c r="L35" s="29"/>
    </row>
    <row r="36" spans="2:17" s="25" customFormat="1" ht="15" customHeight="1" x14ac:dyDescent="0.2">
      <c r="B36" s="209"/>
      <c r="C36" s="210" t="s">
        <v>16</v>
      </c>
      <c r="D36" s="209"/>
      <c r="E36" s="209"/>
      <c r="F36" s="209"/>
      <c r="G36" s="209"/>
      <c r="H36" s="209"/>
      <c r="I36" s="209"/>
      <c r="J36" s="209"/>
      <c r="K36" s="209"/>
      <c r="L36" s="209"/>
      <c r="M36" s="209"/>
    </row>
    <row r="37" spans="2:17" s="25" customFormat="1" ht="6.6" customHeight="1" x14ac:dyDescent="0.2">
      <c r="B37" s="221"/>
      <c r="C37" s="221"/>
      <c r="D37" s="221"/>
      <c r="E37" s="221"/>
      <c r="F37" s="221"/>
      <c r="G37" s="221"/>
      <c r="H37" s="221"/>
      <c r="I37" s="221"/>
      <c r="J37" s="221"/>
      <c r="K37" s="221"/>
      <c r="L37" s="221"/>
      <c r="M37" s="221"/>
    </row>
    <row r="38" spans="2:17" s="25" customFormat="1" ht="15" customHeight="1" x14ac:dyDescent="0.2">
      <c r="B38" s="221"/>
      <c r="C38" s="222" t="s">
        <v>17</v>
      </c>
      <c r="D38" s="221"/>
      <c r="E38" s="221"/>
      <c r="F38" s="221"/>
      <c r="G38" s="221"/>
      <c r="H38" s="221"/>
      <c r="I38" s="221"/>
      <c r="J38" s="221"/>
      <c r="K38" s="221"/>
      <c r="L38" s="221"/>
      <c r="M38" s="223"/>
    </row>
    <row r="39" spans="2:17" s="25" customFormat="1" ht="6.6" customHeight="1" thickBot="1" x14ac:dyDescent="0.25">
      <c r="B39" s="221"/>
      <c r="C39" s="348"/>
      <c r="D39" s="348"/>
      <c r="E39" s="224"/>
      <c r="F39" s="224"/>
      <c r="G39" s="224"/>
      <c r="H39" s="224"/>
      <c r="I39" s="221"/>
      <c r="J39" s="221"/>
      <c r="K39" s="221"/>
      <c r="L39" s="221"/>
      <c r="M39" s="223"/>
    </row>
    <row r="40" spans="2:17" s="25" customFormat="1" ht="15" customHeight="1" thickBot="1" x14ac:dyDescent="0.25">
      <c r="B40" s="221"/>
      <c r="C40" s="206" t="s">
        <v>18</v>
      </c>
      <c r="D40" s="225"/>
      <c r="E40" s="397"/>
      <c r="F40" s="398"/>
      <c r="G40" s="398"/>
      <c r="H40" s="398"/>
      <c r="I40" s="398"/>
      <c r="J40" s="398"/>
      <c r="K40" s="398"/>
      <c r="L40" s="399"/>
      <c r="M40" s="223"/>
    </row>
    <row r="41" spans="2:17" s="25" customFormat="1" ht="6.95" customHeight="1" thickBot="1" x14ac:dyDescent="0.25">
      <c r="B41" s="221"/>
      <c r="C41" s="206"/>
      <c r="D41" s="221"/>
      <c r="E41" s="226"/>
      <c r="F41" s="226"/>
      <c r="G41" s="226"/>
      <c r="H41" s="226"/>
      <c r="I41" s="226"/>
      <c r="J41" s="226"/>
      <c r="K41" s="226"/>
      <c r="L41" s="226"/>
      <c r="M41" s="223"/>
    </row>
    <row r="42" spans="2:17" s="25" customFormat="1" ht="15.6" customHeight="1" thickBot="1" x14ac:dyDescent="0.25">
      <c r="B42" s="221"/>
      <c r="C42" s="348" t="s">
        <v>19</v>
      </c>
      <c r="D42" s="207"/>
      <c r="E42" s="407"/>
      <c r="F42" s="408"/>
      <c r="G42" s="408"/>
      <c r="H42" s="409"/>
      <c r="I42" s="221"/>
      <c r="J42" s="221"/>
      <c r="K42" s="221"/>
      <c r="L42" s="221"/>
      <c r="M42" s="223"/>
    </row>
    <row r="43" spans="2:17" s="25" customFormat="1" ht="6.95" customHeight="1" thickBot="1" x14ac:dyDescent="0.25">
      <c r="B43" s="221"/>
      <c r="C43" s="206"/>
      <c r="D43" s="221"/>
      <c r="E43" s="227"/>
      <c r="F43" s="227"/>
      <c r="G43" s="227"/>
      <c r="H43" s="227"/>
      <c r="I43" s="221"/>
      <c r="J43" s="221"/>
      <c r="K43" s="221"/>
      <c r="L43" s="221"/>
      <c r="M43" s="223"/>
    </row>
    <row r="44" spans="2:17" s="25" customFormat="1" ht="14.45" customHeight="1" thickBot="1" x14ac:dyDescent="0.25">
      <c r="B44" s="221"/>
      <c r="C44" s="348" t="s">
        <v>20</v>
      </c>
      <c r="D44" s="221"/>
      <c r="E44" s="397"/>
      <c r="F44" s="398"/>
      <c r="G44" s="398"/>
      <c r="H44" s="398"/>
      <c r="I44" s="398"/>
      <c r="J44" s="398"/>
      <c r="K44" s="398"/>
      <c r="L44" s="399"/>
      <c r="M44" s="223"/>
    </row>
    <row r="45" spans="2:17" s="25" customFormat="1" ht="6.95" customHeight="1" thickBot="1" x14ac:dyDescent="0.25">
      <c r="B45" s="221"/>
      <c r="C45" s="206"/>
      <c r="D45" s="221"/>
      <c r="E45" s="227"/>
      <c r="F45" s="227"/>
      <c r="G45" s="227"/>
      <c r="H45" s="227"/>
      <c r="I45" s="221"/>
      <c r="J45" s="221"/>
      <c r="K45" s="221"/>
      <c r="L45" s="221"/>
      <c r="M45" s="223"/>
    </row>
    <row r="46" spans="2:17" s="25" customFormat="1" ht="15.6" customHeight="1" thickBot="1" x14ac:dyDescent="0.25">
      <c r="B46" s="221"/>
      <c r="C46" s="206" t="s">
        <v>21</v>
      </c>
      <c r="D46" s="397"/>
      <c r="E46" s="398"/>
      <c r="F46" s="399"/>
      <c r="G46" s="227"/>
      <c r="H46" s="221" t="s">
        <v>22</v>
      </c>
      <c r="I46" s="397"/>
      <c r="J46" s="398"/>
      <c r="K46" s="399"/>
      <c r="L46" s="221"/>
      <c r="M46" s="223"/>
    </row>
    <row r="47" spans="2:17" s="25" customFormat="1" ht="6.6" customHeight="1" x14ac:dyDescent="0.2">
      <c r="B47" s="221"/>
      <c r="C47" s="206"/>
      <c r="D47" s="221"/>
      <c r="E47" s="227"/>
      <c r="F47" s="227"/>
      <c r="G47" s="227"/>
      <c r="H47" s="227"/>
      <c r="I47" s="221"/>
      <c r="J47" s="221"/>
      <c r="K47" s="221"/>
      <c r="L47" s="221"/>
      <c r="M47" s="223"/>
    </row>
    <row r="48" spans="2:17" s="25" customFormat="1" ht="6.6" customHeight="1" x14ac:dyDescent="0.2">
      <c r="B48" s="221"/>
      <c r="C48" s="206"/>
      <c r="D48" s="221"/>
      <c r="E48" s="227"/>
      <c r="F48" s="227"/>
      <c r="G48" s="227"/>
      <c r="H48" s="227"/>
      <c r="I48" s="221"/>
      <c r="J48" s="221"/>
      <c r="K48" s="221"/>
      <c r="L48" s="221"/>
      <c r="M48" s="223"/>
    </row>
    <row r="49" spans="2:17" s="25" customFormat="1" ht="14.45" customHeight="1" x14ac:dyDescent="0.2">
      <c r="B49" s="221"/>
      <c r="C49" s="228" t="s">
        <v>23</v>
      </c>
      <c r="D49" s="221"/>
      <c r="E49" s="227"/>
      <c r="F49" s="227"/>
      <c r="G49" s="227"/>
      <c r="H49" s="227"/>
      <c r="I49" s="221"/>
      <c r="J49" s="221"/>
      <c r="K49" s="221"/>
      <c r="L49" s="221"/>
      <c r="M49" s="223"/>
    </row>
    <row r="50" spans="2:17" s="25" customFormat="1" ht="6.6" customHeight="1" thickBot="1" x14ac:dyDescent="0.25">
      <c r="B50" s="221"/>
      <c r="C50" s="206"/>
      <c r="D50" s="221"/>
      <c r="E50" s="227"/>
      <c r="F50" s="227"/>
      <c r="G50" s="227"/>
      <c r="H50" s="227"/>
      <c r="I50" s="221"/>
      <c r="J50" s="221"/>
      <c r="K50" s="221"/>
      <c r="L50" s="221"/>
      <c r="M50" s="223"/>
    </row>
    <row r="51" spans="2:17" s="25" customFormat="1" ht="15.6" customHeight="1" thickBot="1" x14ac:dyDescent="0.25">
      <c r="B51" s="221"/>
      <c r="C51" s="206" t="s">
        <v>24</v>
      </c>
      <c r="D51" s="207"/>
      <c r="E51" s="397"/>
      <c r="F51" s="398"/>
      <c r="G51" s="398"/>
      <c r="H51" s="398"/>
      <c r="I51" s="398"/>
      <c r="J51" s="398"/>
      <c r="K51" s="398"/>
      <c r="L51" s="399"/>
      <c r="M51" s="223"/>
    </row>
    <row r="52" spans="2:17" s="25" customFormat="1" ht="6.6" customHeight="1" thickBot="1" x14ac:dyDescent="0.25">
      <c r="B52" s="221"/>
      <c r="C52" s="206"/>
      <c r="D52" s="221"/>
      <c r="E52" s="227"/>
      <c r="F52" s="227"/>
      <c r="G52" s="227"/>
      <c r="H52" s="227"/>
      <c r="I52" s="221"/>
      <c r="J52" s="221"/>
      <c r="K52" s="221"/>
      <c r="L52" s="221"/>
      <c r="M52" s="223"/>
    </row>
    <row r="53" spans="2:17" s="25" customFormat="1" ht="15" customHeight="1" thickBot="1" x14ac:dyDescent="0.25">
      <c r="B53" s="221"/>
      <c r="C53" s="206" t="s">
        <v>25</v>
      </c>
      <c r="D53" s="221"/>
      <c r="E53" s="403"/>
      <c r="F53" s="404"/>
      <c r="G53" s="404"/>
      <c r="H53" s="404"/>
      <c r="I53" s="404"/>
      <c r="J53" s="404"/>
      <c r="K53" s="404"/>
      <c r="L53" s="405"/>
      <c r="M53" s="223"/>
    </row>
    <row r="54" spans="2:17" s="25" customFormat="1" ht="6.6" customHeight="1" thickBot="1" x14ac:dyDescent="0.25">
      <c r="B54" s="221"/>
      <c r="C54" s="206"/>
      <c r="D54" s="221"/>
      <c r="E54" s="221"/>
      <c r="F54" s="221"/>
      <c r="G54" s="221"/>
      <c r="H54" s="221"/>
      <c r="I54" s="221"/>
      <c r="J54" s="221"/>
      <c r="K54" s="221"/>
      <c r="L54" s="221"/>
      <c r="M54" s="223"/>
    </row>
    <row r="55" spans="2:17" s="25" customFormat="1" ht="15" customHeight="1" thickBot="1" x14ac:dyDescent="0.25">
      <c r="B55" s="221"/>
      <c r="C55" s="206" t="s">
        <v>26</v>
      </c>
      <c r="D55" s="221"/>
      <c r="E55" s="403"/>
      <c r="F55" s="404"/>
      <c r="G55" s="404"/>
      <c r="H55" s="404"/>
      <c r="I55" s="404"/>
      <c r="J55" s="404"/>
      <c r="K55" s="404"/>
      <c r="L55" s="405"/>
      <c r="M55" s="223"/>
    </row>
    <row r="56" spans="2:17" s="25" customFormat="1" ht="6.95" customHeight="1" thickBot="1" x14ac:dyDescent="0.25">
      <c r="B56" s="221"/>
      <c r="C56" s="206"/>
      <c r="D56" s="221"/>
      <c r="E56" s="221"/>
      <c r="F56" s="221"/>
      <c r="G56" s="221"/>
      <c r="H56" s="221"/>
      <c r="I56" s="221"/>
      <c r="J56" s="221"/>
      <c r="K56" s="221"/>
      <c r="L56" s="221"/>
      <c r="M56" s="223"/>
    </row>
    <row r="57" spans="2:17" s="25" customFormat="1" ht="13.5" customHeight="1" thickBot="1" x14ac:dyDescent="0.25">
      <c r="B57" s="221"/>
      <c r="C57" s="206" t="s">
        <v>27</v>
      </c>
      <c r="D57" s="221"/>
      <c r="E57" s="221"/>
      <c r="F57" s="221"/>
      <c r="G57" s="403"/>
      <c r="H57" s="404"/>
      <c r="I57" s="404"/>
      <c r="J57" s="404"/>
      <c r="K57" s="404"/>
      <c r="L57" s="405"/>
      <c r="M57" s="223"/>
    </row>
    <row r="58" spans="2:17" s="25" customFormat="1" ht="6.95" customHeight="1" thickBot="1" x14ac:dyDescent="0.25">
      <c r="B58" s="221"/>
      <c r="C58" s="206"/>
      <c r="D58" s="221"/>
      <c r="E58" s="221"/>
      <c r="F58" s="221"/>
      <c r="G58" s="221"/>
      <c r="H58" s="221"/>
      <c r="I58" s="221"/>
      <c r="J58" s="221"/>
      <c r="K58" s="221"/>
      <c r="L58" s="221"/>
      <c r="M58" s="223"/>
    </row>
    <row r="59" spans="2:17" s="25" customFormat="1" ht="15" customHeight="1" thickBot="1" x14ac:dyDescent="0.25">
      <c r="B59" s="221"/>
      <c r="C59" s="206" t="s">
        <v>21</v>
      </c>
      <c r="D59" s="403"/>
      <c r="E59" s="404"/>
      <c r="F59" s="405"/>
      <c r="G59" s="221"/>
      <c r="H59" s="221" t="s">
        <v>22</v>
      </c>
      <c r="I59" s="403"/>
      <c r="J59" s="404"/>
      <c r="K59" s="405"/>
      <c r="L59" s="223"/>
      <c r="M59" s="223"/>
    </row>
    <row r="60" spans="2:17" s="25" customFormat="1" ht="6.6" customHeight="1" thickBot="1" x14ac:dyDescent="0.25">
      <c r="B60" s="221"/>
      <c r="C60" s="206"/>
      <c r="D60" s="221"/>
      <c r="E60" s="221"/>
      <c r="F60" s="221"/>
      <c r="G60" s="221"/>
      <c r="H60" s="221"/>
      <c r="I60" s="221"/>
      <c r="J60" s="221"/>
      <c r="K60" s="221"/>
      <c r="L60" s="221"/>
      <c r="M60" s="223"/>
    </row>
    <row r="61" spans="2:17" s="25" customFormat="1" ht="15" thickBot="1" x14ac:dyDescent="0.25">
      <c r="B61" s="221"/>
      <c r="C61" s="206" t="s">
        <v>28</v>
      </c>
      <c r="D61" s="397"/>
      <c r="E61" s="398"/>
      <c r="F61" s="399"/>
      <c r="G61" s="227"/>
      <c r="H61" s="221" t="s">
        <v>29</v>
      </c>
      <c r="I61" s="397"/>
      <c r="J61" s="398"/>
      <c r="K61" s="399"/>
      <c r="L61" s="223"/>
      <c r="M61" s="223"/>
    </row>
    <row r="62" spans="2:17" s="25" customFormat="1" ht="6.6" customHeight="1" thickBot="1" x14ac:dyDescent="0.25">
      <c r="B62" s="221"/>
      <c r="C62" s="206"/>
      <c r="D62" s="221"/>
      <c r="E62" s="221"/>
      <c r="F62" s="221"/>
      <c r="G62" s="221"/>
      <c r="H62" s="221"/>
      <c r="I62" s="221"/>
      <c r="J62" s="221"/>
      <c r="K62" s="221"/>
      <c r="L62" s="221"/>
      <c r="M62" s="223"/>
    </row>
    <row r="63" spans="2:17" s="25" customFormat="1" ht="15" customHeight="1" thickBot="1" x14ac:dyDescent="0.25">
      <c r="B63" s="221"/>
      <c r="C63" s="206" t="s">
        <v>30</v>
      </c>
      <c r="D63" s="400"/>
      <c r="E63" s="401"/>
      <c r="F63" s="401"/>
      <c r="G63" s="401"/>
      <c r="H63" s="401"/>
      <c r="I63" s="401"/>
      <c r="J63" s="401"/>
      <c r="K63" s="401"/>
      <c r="L63" s="402"/>
      <c r="M63" s="223"/>
    </row>
    <row r="64" spans="2:17" s="25" customFormat="1" ht="6.6" customHeight="1" x14ac:dyDescent="0.25">
      <c r="B64" s="229"/>
      <c r="C64" s="351"/>
      <c r="D64" s="351"/>
      <c r="E64" s="351"/>
      <c r="F64" s="351"/>
      <c r="G64" s="351"/>
      <c r="H64" s="351"/>
      <c r="I64" s="351"/>
      <c r="J64" s="351"/>
      <c r="K64" s="351"/>
      <c r="L64" s="351"/>
      <c r="M64" s="229"/>
      <c r="N64" s="26"/>
      <c r="O64" s="26"/>
      <c r="P64" s="26"/>
      <c r="Q64" s="26"/>
    </row>
    <row r="65" spans="2:13" s="25" customFormat="1" x14ac:dyDescent="0.2">
      <c r="B65" s="30"/>
      <c r="C65" s="29"/>
      <c r="D65" s="29"/>
      <c r="E65" s="29"/>
      <c r="F65" s="29"/>
      <c r="G65" s="29"/>
      <c r="H65" s="29"/>
      <c r="I65" s="29"/>
      <c r="J65" s="29"/>
      <c r="K65" s="29"/>
      <c r="L65" s="29"/>
    </row>
    <row r="66" spans="2:13" s="25" customFormat="1" ht="15" customHeight="1" x14ac:dyDescent="0.2">
      <c r="B66" s="209"/>
      <c r="C66" s="210" t="s">
        <v>31</v>
      </c>
      <c r="D66" s="209"/>
      <c r="E66" s="209"/>
      <c r="F66" s="209"/>
      <c r="G66" s="209"/>
      <c r="H66" s="209"/>
      <c r="I66" s="209"/>
      <c r="J66" s="209"/>
      <c r="K66" s="209"/>
      <c r="L66" s="209"/>
      <c r="M66" s="209"/>
    </row>
    <row r="67" spans="2:13" s="25" customFormat="1" ht="6.95" customHeight="1" x14ac:dyDescent="0.2">
      <c r="B67" s="221"/>
      <c r="C67" s="221"/>
      <c r="D67" s="221"/>
      <c r="E67" s="227"/>
      <c r="F67" s="227"/>
      <c r="G67" s="227"/>
      <c r="H67" s="227"/>
      <c r="I67" s="221"/>
      <c r="J67" s="221"/>
      <c r="K67" s="221"/>
      <c r="L67" s="221"/>
      <c r="M67" s="223"/>
    </row>
    <row r="68" spans="2:13" s="25" customFormat="1" ht="15.6" customHeight="1" x14ac:dyDescent="0.2">
      <c r="B68" s="221"/>
      <c r="C68" s="222" t="s">
        <v>32</v>
      </c>
      <c r="D68" s="221"/>
      <c r="E68" s="227"/>
      <c r="F68" s="227"/>
      <c r="G68" s="227"/>
      <c r="H68" s="227"/>
      <c r="I68" s="221"/>
      <c r="J68" s="221"/>
      <c r="K68" s="221"/>
      <c r="L68" s="221"/>
      <c r="M68" s="223"/>
    </row>
    <row r="69" spans="2:13" s="25" customFormat="1" ht="6.95" customHeight="1" thickBot="1" x14ac:dyDescent="0.25">
      <c r="B69" s="221"/>
      <c r="C69" s="221"/>
      <c r="D69" s="221"/>
      <c r="E69" s="227"/>
      <c r="F69" s="227"/>
      <c r="G69" s="227"/>
      <c r="H69" s="227"/>
      <c r="I69" s="221"/>
      <c r="J69" s="221"/>
      <c r="K69" s="221"/>
      <c r="L69" s="221"/>
      <c r="M69" s="223"/>
    </row>
    <row r="70" spans="2:13" s="25" customFormat="1" ht="15" customHeight="1" thickBot="1" x14ac:dyDescent="0.25">
      <c r="B70" s="223"/>
      <c r="C70" s="393" t="s">
        <v>33</v>
      </c>
      <c r="D70" s="393"/>
      <c r="E70" s="421"/>
      <c r="F70" s="422"/>
      <c r="G70" s="423"/>
      <c r="H70" s="416" t="s">
        <v>556</v>
      </c>
      <c r="I70" s="417"/>
      <c r="J70" s="413"/>
      <c r="K70" s="414"/>
      <c r="L70" s="415"/>
      <c r="M70" s="223"/>
    </row>
    <row r="71" spans="2:13" s="25" customFormat="1" ht="6.95" customHeight="1" thickBot="1" x14ac:dyDescent="0.25">
      <c r="B71" s="223"/>
      <c r="C71" s="221"/>
      <c r="D71" s="223"/>
      <c r="E71" s="221"/>
      <c r="F71" s="221"/>
      <c r="G71" s="223"/>
      <c r="H71" s="223"/>
      <c r="I71" s="223"/>
      <c r="J71" s="223"/>
      <c r="K71" s="223"/>
      <c r="L71" s="223"/>
      <c r="M71" s="223"/>
    </row>
    <row r="72" spans="2:13" s="25" customFormat="1" ht="30" customHeight="1" thickBot="1" x14ac:dyDescent="0.25">
      <c r="B72" s="223"/>
      <c r="C72" s="393" t="s">
        <v>34</v>
      </c>
      <c r="D72" s="394"/>
      <c r="E72" s="428"/>
      <c r="F72" s="429"/>
      <c r="G72" s="430"/>
      <c r="H72" s="411" t="s">
        <v>35</v>
      </c>
      <c r="I72" s="412"/>
      <c r="J72" s="413"/>
      <c r="K72" s="414"/>
      <c r="L72" s="415"/>
      <c r="M72" s="223"/>
    </row>
    <row r="73" spans="2:13" s="25" customFormat="1" ht="6.95" customHeight="1" thickBot="1" x14ac:dyDescent="0.25">
      <c r="B73" s="223"/>
      <c r="C73" s="221"/>
      <c r="D73" s="223"/>
      <c r="E73" s="221"/>
      <c r="F73" s="221"/>
      <c r="G73" s="223"/>
      <c r="H73" s="223"/>
      <c r="I73" s="223"/>
      <c r="J73" s="223"/>
      <c r="K73" s="223"/>
      <c r="L73" s="223"/>
      <c r="M73" s="223"/>
    </row>
    <row r="74" spans="2:13" s="25" customFormat="1" ht="30" customHeight="1" thickBot="1" x14ac:dyDescent="0.25">
      <c r="B74" s="223"/>
      <c r="C74" s="395" t="s">
        <v>36</v>
      </c>
      <c r="D74" s="395"/>
      <c r="E74" s="425"/>
      <c r="F74" s="426"/>
      <c r="G74" s="427"/>
      <c r="H74" s="411" t="s">
        <v>35</v>
      </c>
      <c r="I74" s="412"/>
      <c r="J74" s="413"/>
      <c r="K74" s="414"/>
      <c r="L74" s="415"/>
      <c r="M74" s="223"/>
    </row>
    <row r="75" spans="2:13" s="25" customFormat="1" ht="6.95" customHeight="1" thickBot="1" x14ac:dyDescent="0.25">
      <c r="B75" s="223"/>
      <c r="C75" s="221"/>
      <c r="D75" s="223"/>
      <c r="E75" s="221"/>
      <c r="F75" s="221"/>
      <c r="G75" s="223"/>
      <c r="H75" s="223"/>
      <c r="I75" s="223"/>
      <c r="J75" s="223"/>
      <c r="K75" s="223"/>
      <c r="L75" s="223"/>
      <c r="M75" s="223"/>
    </row>
    <row r="76" spans="2:13" s="25" customFormat="1" ht="28.5" customHeight="1" thickBot="1" x14ac:dyDescent="0.25">
      <c r="B76" s="223"/>
      <c r="C76" s="395" t="s">
        <v>37</v>
      </c>
      <c r="D76" s="395"/>
      <c r="E76" s="395"/>
      <c r="F76" s="149"/>
      <c r="G76" s="221"/>
      <c r="H76" s="424" t="s">
        <v>38</v>
      </c>
      <c r="I76" s="424"/>
      <c r="J76" s="424"/>
      <c r="K76" s="149"/>
      <c r="L76" s="230" t="s">
        <v>39</v>
      </c>
      <c r="M76" s="223"/>
    </row>
    <row r="77" spans="2:13" s="25" customFormat="1" ht="6.6" customHeight="1" thickBot="1" x14ac:dyDescent="0.25">
      <c r="B77" s="223"/>
      <c r="C77" s="221"/>
      <c r="D77" s="223"/>
      <c r="E77" s="221"/>
      <c r="F77" s="221"/>
      <c r="G77" s="223"/>
      <c r="H77" s="223"/>
      <c r="I77" s="223"/>
      <c r="J77" s="223"/>
      <c r="K77" s="223"/>
      <c r="L77" s="223"/>
      <c r="M77" s="223"/>
    </row>
    <row r="78" spans="2:13" s="25" customFormat="1" ht="33" customHeight="1" thickBot="1" x14ac:dyDescent="0.25">
      <c r="B78" s="223"/>
      <c r="C78" s="223"/>
      <c r="D78" s="223"/>
      <c r="E78" s="223"/>
      <c r="F78" s="223"/>
      <c r="G78" s="223"/>
      <c r="H78" s="410" t="s">
        <v>531</v>
      </c>
      <c r="I78" s="410"/>
      <c r="J78" s="410"/>
      <c r="K78" s="149"/>
      <c r="L78" s="230" t="s">
        <v>39</v>
      </c>
      <c r="M78" s="223"/>
    </row>
    <row r="79" spans="2:13" s="25" customFormat="1" ht="6.75" customHeight="1" thickBot="1" x14ac:dyDescent="0.25">
      <c r="B79" s="223"/>
      <c r="C79" s="221"/>
      <c r="D79" s="223"/>
      <c r="E79" s="221"/>
      <c r="F79" s="221"/>
      <c r="G79" s="223"/>
      <c r="H79" s="368"/>
      <c r="I79" s="368"/>
      <c r="J79" s="368"/>
      <c r="K79" s="368"/>
      <c r="L79" s="230"/>
      <c r="M79" s="223"/>
    </row>
    <row r="80" spans="2:13" s="25" customFormat="1" ht="30.75" customHeight="1" thickBot="1" x14ac:dyDescent="0.25">
      <c r="B80" s="223"/>
      <c r="C80" s="418" t="s">
        <v>557</v>
      </c>
      <c r="D80" s="418"/>
      <c r="E80" s="418"/>
      <c r="F80" s="149"/>
      <c r="G80" s="223"/>
      <c r="H80" s="368"/>
      <c r="I80" s="368"/>
      <c r="J80" s="368"/>
      <c r="K80" s="368"/>
      <c r="L80" s="230"/>
      <c r="M80" s="223"/>
    </row>
    <row r="81" spans="1:17" s="25" customFormat="1" ht="6.95" customHeight="1" x14ac:dyDescent="0.2">
      <c r="B81" s="223"/>
      <c r="C81" s="348"/>
      <c r="D81" s="348"/>
      <c r="E81" s="231"/>
      <c r="F81" s="231"/>
      <c r="G81" s="221"/>
      <c r="H81" s="223"/>
      <c r="I81" s="223"/>
      <c r="J81" s="223"/>
      <c r="K81" s="223"/>
      <c r="L81" s="223"/>
      <c r="M81" s="223"/>
    </row>
    <row r="82" spans="1:17" s="25" customFormat="1" ht="15" customHeight="1" x14ac:dyDescent="0.2">
      <c r="B82" s="223"/>
      <c r="C82" s="228" t="s">
        <v>40</v>
      </c>
      <c r="D82" s="348"/>
      <c r="E82" s="231"/>
      <c r="F82" s="231"/>
      <c r="G82" s="221"/>
      <c r="H82" s="223"/>
      <c r="I82" s="223"/>
      <c r="J82" s="223"/>
      <c r="K82" s="223"/>
      <c r="L82" s="223"/>
      <c r="M82" s="223"/>
    </row>
    <row r="83" spans="1:17" s="25" customFormat="1" ht="6.95" customHeight="1" thickBot="1" x14ac:dyDescent="0.25">
      <c r="B83" s="223"/>
      <c r="C83" s="228"/>
      <c r="D83" s="348"/>
      <c r="E83" s="231"/>
      <c r="F83" s="231"/>
      <c r="G83" s="221"/>
      <c r="H83" s="221"/>
      <c r="I83" s="221"/>
      <c r="J83" s="221"/>
      <c r="K83" s="221"/>
      <c r="L83" s="221"/>
      <c r="M83" s="223"/>
    </row>
    <row r="84" spans="1:17" s="25" customFormat="1" ht="15.6" customHeight="1" thickBot="1" x14ac:dyDescent="0.25">
      <c r="B84" s="223"/>
      <c r="C84" s="221" t="s">
        <v>41</v>
      </c>
      <c r="D84" s="221"/>
      <c r="E84" s="221"/>
      <c r="F84" s="171"/>
      <c r="G84" s="221"/>
      <c r="H84" s="221"/>
      <c r="I84" s="221"/>
      <c r="J84" s="221"/>
      <c r="K84" s="221"/>
      <c r="L84" s="221"/>
      <c r="M84" s="223"/>
    </row>
    <row r="85" spans="1:17" s="25" customFormat="1" ht="6.95" customHeight="1" thickBot="1" x14ac:dyDescent="0.25">
      <c r="B85" s="223"/>
      <c r="C85" s="348"/>
      <c r="D85" s="348"/>
      <c r="E85" s="231"/>
      <c r="F85" s="231"/>
      <c r="G85" s="221"/>
      <c r="H85" s="221"/>
      <c r="I85" s="221"/>
      <c r="J85" s="221"/>
      <c r="K85" s="221"/>
      <c r="L85" s="221"/>
      <c r="M85" s="223"/>
    </row>
    <row r="86" spans="1:17" s="25" customFormat="1" ht="15" thickBot="1" x14ac:dyDescent="0.25">
      <c r="B86" s="223"/>
      <c r="C86" s="221" t="s">
        <v>42</v>
      </c>
      <c r="D86" s="221"/>
      <c r="E86" s="390"/>
      <c r="F86" s="391"/>
      <c r="G86" s="392"/>
      <c r="H86" s="221"/>
      <c r="I86" s="232" t="s">
        <v>43</v>
      </c>
      <c r="J86" s="390"/>
      <c r="K86" s="391"/>
      <c r="L86" s="392"/>
      <c r="M86" s="223"/>
    </row>
    <row r="87" spans="1:17" s="25" customFormat="1" x14ac:dyDescent="0.2">
      <c r="B87" s="223"/>
      <c r="C87" s="221"/>
      <c r="D87" s="221"/>
      <c r="E87" s="431" t="s">
        <v>44</v>
      </c>
      <c r="F87" s="431"/>
      <c r="G87" s="431"/>
      <c r="H87" s="221"/>
      <c r="I87" s="232"/>
      <c r="J87" s="431" t="s">
        <v>44</v>
      </c>
      <c r="K87" s="431"/>
      <c r="L87" s="431"/>
      <c r="M87" s="223"/>
    </row>
    <row r="88" spans="1:17" s="25" customFormat="1" ht="6.6" customHeight="1" x14ac:dyDescent="0.25">
      <c r="B88" s="229"/>
      <c r="C88" s="351"/>
      <c r="D88" s="351"/>
      <c r="E88" s="351"/>
      <c r="F88" s="351"/>
      <c r="G88" s="351"/>
      <c r="H88" s="351"/>
      <c r="I88" s="351"/>
      <c r="J88" s="351"/>
      <c r="K88" s="351"/>
      <c r="L88" s="351"/>
      <c r="M88" s="229"/>
      <c r="N88" s="26"/>
      <c r="O88" s="26"/>
      <c r="P88" s="26"/>
      <c r="Q88" s="26"/>
    </row>
    <row r="89" spans="1:17" s="25" customFormat="1" ht="15" customHeight="1" x14ac:dyDescent="0.25">
      <c r="B89" s="233"/>
      <c r="C89" s="223" t="s">
        <v>45</v>
      </c>
      <c r="D89" s="234"/>
      <c r="E89" s="234"/>
      <c r="F89" s="235"/>
      <c r="G89" s="351"/>
      <c r="H89" s="351"/>
      <c r="I89" s="351"/>
      <c r="J89" s="351"/>
      <c r="K89" s="351"/>
      <c r="L89" s="351"/>
      <c r="M89" s="229"/>
      <c r="N89" s="26"/>
      <c r="O89" s="26"/>
      <c r="P89" s="26"/>
      <c r="Q89" s="26"/>
    </row>
    <row r="90" spans="1:17" s="25" customFormat="1" ht="6.6" customHeight="1" x14ac:dyDescent="0.25">
      <c r="B90" s="229"/>
      <c r="C90" s="235"/>
      <c r="D90" s="235"/>
      <c r="E90" s="235"/>
      <c r="F90" s="235"/>
      <c r="G90" s="351"/>
      <c r="H90" s="351"/>
      <c r="I90" s="351"/>
      <c r="J90" s="351"/>
      <c r="K90" s="351"/>
      <c r="L90" s="351"/>
      <c r="M90" s="229"/>
      <c r="N90" s="26"/>
      <c r="O90" s="26"/>
      <c r="P90" s="26"/>
      <c r="Q90" s="26"/>
    </row>
    <row r="91" spans="1:17" s="25" customFormat="1" ht="15" customHeight="1" x14ac:dyDescent="0.2">
      <c r="B91" s="223"/>
      <c r="C91" s="221"/>
      <c r="D91" s="221"/>
      <c r="E91" s="348" t="s">
        <v>46</v>
      </c>
      <c r="F91" s="221"/>
      <c r="G91" s="221"/>
      <c r="H91" s="221"/>
      <c r="I91" s="348" t="s">
        <v>47</v>
      </c>
      <c r="J91" s="221"/>
      <c r="K91" s="221"/>
      <c r="L91" s="213"/>
      <c r="M91" s="223"/>
    </row>
    <row r="92" spans="1:17" s="25" customFormat="1" ht="5.45" customHeight="1" x14ac:dyDescent="0.2">
      <c r="B92" s="223"/>
      <c r="C92" s="221"/>
      <c r="D92" s="221"/>
      <c r="E92" s="348"/>
      <c r="F92" s="221"/>
      <c r="G92" s="221"/>
      <c r="H92" s="221"/>
      <c r="I92" s="348"/>
      <c r="J92" s="221"/>
      <c r="K92" s="221"/>
      <c r="L92" s="213"/>
      <c r="M92" s="223"/>
    </row>
    <row r="93" spans="1:17" s="25" customFormat="1" ht="15" customHeight="1" x14ac:dyDescent="0.2">
      <c r="B93" s="223"/>
      <c r="C93" s="221"/>
      <c r="D93" s="221"/>
      <c r="E93" s="348" t="s">
        <v>48</v>
      </c>
      <c r="F93" s="221"/>
      <c r="G93" s="221"/>
      <c r="H93" s="221"/>
      <c r="I93" s="348" t="s">
        <v>49</v>
      </c>
      <c r="J93" s="221"/>
      <c r="K93" s="221"/>
      <c r="L93" s="213"/>
      <c r="M93" s="223"/>
    </row>
    <row r="94" spans="1:17" s="25" customFormat="1" ht="6.6" customHeight="1" x14ac:dyDescent="0.25">
      <c r="B94" s="229"/>
      <c r="C94" s="351"/>
      <c r="D94" s="351"/>
      <c r="E94" s="351"/>
      <c r="F94" s="351"/>
      <c r="G94" s="351"/>
      <c r="H94" s="351"/>
      <c r="I94" s="351"/>
      <c r="J94" s="351"/>
      <c r="K94" s="351"/>
      <c r="L94" s="351"/>
      <c r="M94" s="229"/>
      <c r="N94" s="26"/>
      <c r="O94" s="26"/>
      <c r="P94" s="26"/>
      <c r="Q94" s="26"/>
    </row>
    <row r="95" spans="1:17" s="25" customFormat="1" ht="15" customHeight="1" x14ac:dyDescent="0.2">
      <c r="A95" s="28"/>
      <c r="B95" s="236"/>
      <c r="C95" s="236"/>
      <c r="D95" s="236"/>
      <c r="E95" s="236"/>
      <c r="F95" s="236"/>
      <c r="G95" s="236"/>
      <c r="H95" s="236"/>
      <c r="I95" s="236"/>
      <c r="J95" s="236"/>
      <c r="K95" s="236"/>
      <c r="L95" s="236"/>
      <c r="M95" s="236"/>
      <c r="N95" s="29"/>
      <c r="O95" s="29"/>
      <c r="P95" s="29"/>
      <c r="Q95" s="29"/>
    </row>
    <row r="96" spans="1:17" s="25" customFormat="1" ht="50.45" customHeight="1" x14ac:dyDescent="0.2">
      <c r="B96" s="419" t="s">
        <v>50</v>
      </c>
      <c r="C96" s="419"/>
      <c r="D96" s="419"/>
      <c r="E96" s="419"/>
      <c r="F96" s="419"/>
      <c r="G96" s="419"/>
      <c r="H96" s="419"/>
      <c r="I96" s="419"/>
      <c r="J96" s="419"/>
      <c r="K96" s="419"/>
      <c r="L96" s="419"/>
      <c r="M96" s="419"/>
      <c r="O96" s="29"/>
      <c r="P96" s="29"/>
      <c r="Q96" s="29"/>
    </row>
    <row r="97" spans="2:17" s="25" customFormat="1" ht="50.45" customHeight="1" x14ac:dyDescent="0.2">
      <c r="B97" s="420" t="s">
        <v>51</v>
      </c>
      <c r="C97" s="420"/>
      <c r="D97" s="420"/>
      <c r="E97" s="420"/>
      <c r="F97" s="420"/>
      <c r="G97" s="420"/>
      <c r="H97" s="420"/>
      <c r="I97" s="420"/>
      <c r="J97" s="420"/>
      <c r="K97" s="420"/>
      <c r="L97" s="420"/>
      <c r="M97" s="420"/>
      <c r="O97" s="29"/>
      <c r="P97" s="29"/>
      <c r="Q97" s="29"/>
    </row>
  </sheetData>
  <sheetProtection algorithmName="SHA-512" hashValue="PqekAJAhiO2IoU/r2g8kYjVk4ZiZRTTLsAb9hgw38yElJE0vTx0xrCftfvhc2dCow/UbpFL2LQ+VWZ51XhmfHw==" saltValue="HvEYfUSZznOr3+V0MhAxiA==" spinCount="100000" sheet="1" selectLockedCells="1"/>
  <mergeCells count="40">
    <mergeCell ref="C80:E80"/>
    <mergeCell ref="B96:M96"/>
    <mergeCell ref="B97:M97"/>
    <mergeCell ref="I59:K59"/>
    <mergeCell ref="D61:F61"/>
    <mergeCell ref="I61:K61"/>
    <mergeCell ref="C76:E76"/>
    <mergeCell ref="E70:G70"/>
    <mergeCell ref="H76:J76"/>
    <mergeCell ref="E74:G74"/>
    <mergeCell ref="H74:I74"/>
    <mergeCell ref="J74:L74"/>
    <mergeCell ref="E72:G72"/>
    <mergeCell ref="C74:D74"/>
    <mergeCell ref="E87:G87"/>
    <mergeCell ref="J87:L87"/>
    <mergeCell ref="H78:J78"/>
    <mergeCell ref="D46:F46"/>
    <mergeCell ref="E44:L44"/>
    <mergeCell ref="I46:K46"/>
    <mergeCell ref="H72:I72"/>
    <mergeCell ref="J72:L72"/>
    <mergeCell ref="H70:I70"/>
    <mergeCell ref="J70:L70"/>
    <mergeCell ref="E7:J7"/>
    <mergeCell ref="E86:G86"/>
    <mergeCell ref="J86:L86"/>
    <mergeCell ref="C72:D72"/>
    <mergeCell ref="C14:L14"/>
    <mergeCell ref="C33:L33"/>
    <mergeCell ref="E40:L40"/>
    <mergeCell ref="E51:L51"/>
    <mergeCell ref="C70:D70"/>
    <mergeCell ref="D63:L63"/>
    <mergeCell ref="E55:L55"/>
    <mergeCell ref="G57:L57"/>
    <mergeCell ref="D59:F59"/>
    <mergeCell ref="C11:L11"/>
    <mergeCell ref="E42:H42"/>
    <mergeCell ref="E53:L53"/>
  </mergeCells>
  <pageMargins left="0.7" right="0.7" top="0.75" bottom="0.75" header="0.3" footer="0.3"/>
  <pageSetup scale="5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9941" r:id="rId4" name="Check Box 5">
              <controlPr defaultSize="0" autoFill="0" autoLine="0" autoPict="0">
                <anchor moveWithCells="1">
                  <from>
                    <xdr:col>3</xdr:col>
                    <xdr:colOff>523875</xdr:colOff>
                    <xdr:row>89</xdr:row>
                    <xdr:rowOff>28575</xdr:rowOff>
                  </from>
                  <to>
                    <xdr:col>3</xdr:col>
                    <xdr:colOff>952500</xdr:colOff>
                    <xdr:row>92</xdr:row>
                    <xdr:rowOff>9525</xdr:rowOff>
                  </to>
                </anchor>
              </controlPr>
            </control>
          </mc:Choice>
        </mc:AlternateContent>
        <mc:AlternateContent xmlns:mc="http://schemas.openxmlformats.org/markup-compatibility/2006">
          <mc:Choice Requires="x14">
            <control shapeId="39942" r:id="rId5" name="Check Box 6">
              <controlPr defaultSize="0" autoFill="0" autoLine="0" autoPict="0">
                <anchor moveWithCells="1">
                  <from>
                    <xdr:col>3</xdr:col>
                    <xdr:colOff>523875</xdr:colOff>
                    <xdr:row>91</xdr:row>
                    <xdr:rowOff>28575</xdr:rowOff>
                  </from>
                  <to>
                    <xdr:col>3</xdr:col>
                    <xdr:colOff>952500</xdr:colOff>
                    <xdr:row>93</xdr:row>
                    <xdr:rowOff>47625</xdr:rowOff>
                  </to>
                </anchor>
              </controlPr>
            </control>
          </mc:Choice>
        </mc:AlternateContent>
        <mc:AlternateContent xmlns:mc="http://schemas.openxmlformats.org/markup-compatibility/2006">
          <mc:Choice Requires="x14">
            <control shapeId="39943" r:id="rId6" name="Check Box 7">
              <controlPr defaultSize="0" autoFill="0" autoLine="0" autoPict="0">
                <anchor moveWithCells="1">
                  <from>
                    <xdr:col>7</xdr:col>
                    <xdr:colOff>523875</xdr:colOff>
                    <xdr:row>91</xdr:row>
                    <xdr:rowOff>28575</xdr:rowOff>
                  </from>
                  <to>
                    <xdr:col>7</xdr:col>
                    <xdr:colOff>952500</xdr:colOff>
                    <xdr:row>94</xdr:row>
                    <xdr:rowOff>28575</xdr:rowOff>
                  </to>
                </anchor>
              </controlPr>
            </control>
          </mc:Choice>
        </mc:AlternateContent>
        <mc:AlternateContent xmlns:mc="http://schemas.openxmlformats.org/markup-compatibility/2006">
          <mc:Choice Requires="x14">
            <control shapeId="39944" r:id="rId7" name="Check Box 8">
              <controlPr defaultSize="0" autoFill="0" autoLine="0" autoPict="0">
                <anchor moveWithCells="1">
                  <from>
                    <xdr:col>7</xdr:col>
                    <xdr:colOff>523875</xdr:colOff>
                    <xdr:row>89</xdr:row>
                    <xdr:rowOff>47625</xdr:rowOff>
                  </from>
                  <to>
                    <xdr:col>7</xdr:col>
                    <xdr:colOff>952500</xdr:colOff>
                    <xdr:row>92</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r:uid="{D311BAB5-E52A-4623-BF61-B00C0A5B14C9}">
          <x14:formula1>
            <xm:f>Contrôle!$J$3:$J$9</xm:f>
          </x14:formula1>
          <xm:sqref>E72</xm:sqref>
        </x14:dataValidation>
        <x14:dataValidation type="list" allowBlank="1" showInputMessage="1" showErrorMessage="1" xr:uid="{CE699E12-502C-4A8B-91F8-CD460AFD0F1D}">
          <x14:formula1>
            <xm:f>Contrôle!$N$3:$N$6</xm:f>
          </x14:formula1>
          <xm:sqref>E74</xm:sqref>
        </x14:dataValidation>
        <x14:dataValidation type="list" allowBlank="1" showInputMessage="1" showErrorMessage="1" xr:uid="{A5E278A6-079F-4CDB-BBDA-FF624BF275F6}">
          <x14:formula1>
            <xm:f>Contrôle!$R$3:$R$4</xm:f>
          </x14:formula1>
          <xm:sqref>F84 F76</xm:sqref>
        </x14:dataValidation>
        <x14:dataValidation type="list" allowBlank="1" showInputMessage="1" showErrorMessage="1" xr:uid="{5D9117BE-BAFA-4170-A5D6-7B2939993D34}">
          <x14:formula1>
            <xm:f>Contrôle!$G$3:$G$11</xm:f>
          </x14:formula1>
          <xm:sqref>E70</xm:sqref>
        </x14:dataValidation>
        <x14:dataValidation type="list" allowBlank="1" showInputMessage="1" showErrorMessage="1" xr:uid="{F25C8F9C-C90B-43F6-88F4-4966A11874F8}">
          <x14:formula1>
            <xm:f>Contrôle!$R$9:$R$10</xm:f>
          </x14:formula1>
          <xm:sqref>F80</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13">
    <tabColor rgb="FF95D8F5"/>
  </sheetPr>
  <dimension ref="B2:AU41"/>
  <sheetViews>
    <sheetView showGridLines="0" topLeftCell="H1" workbookViewId="0">
      <selection activeCell="K34" sqref="K34"/>
    </sheetView>
  </sheetViews>
  <sheetFormatPr baseColWidth="10" defaultColWidth="11" defaultRowHeight="14.25" x14ac:dyDescent="0.2"/>
  <cols>
    <col min="1" max="1" width="1.5" customWidth="1"/>
    <col min="5" max="5" width="11" customWidth="1"/>
    <col min="11" max="11" width="15" customWidth="1"/>
    <col min="12" max="12" width="9.5" customWidth="1"/>
    <col min="13" max="13" width="7.5" customWidth="1"/>
    <col min="14" max="14" width="29" customWidth="1"/>
    <col min="15" max="16" width="12.875" customWidth="1"/>
    <col min="17" max="17" width="29" customWidth="1"/>
    <col min="18" max="18" width="35.625" customWidth="1"/>
    <col min="21" max="21" width="16.125" customWidth="1"/>
    <col min="24" max="24" width="11.625" customWidth="1"/>
    <col min="25" max="25" width="13.375" customWidth="1"/>
    <col min="26" max="26" width="14.375" customWidth="1"/>
    <col min="27" max="27" width="17" customWidth="1"/>
    <col min="28" max="28" width="12.5" customWidth="1"/>
    <col min="34" max="36" width="13.5" customWidth="1"/>
    <col min="37" max="37" width="14.375" customWidth="1"/>
    <col min="38" max="38" width="14.625" customWidth="1"/>
    <col min="39" max="39" width="14" customWidth="1"/>
    <col min="40" max="40" width="21.5" customWidth="1"/>
    <col min="41" max="41" width="20.875" customWidth="1"/>
    <col min="42" max="42" width="30.125" customWidth="1"/>
    <col min="43" max="43" width="17.125" customWidth="1"/>
    <col min="44" max="44" width="14.125" customWidth="1"/>
    <col min="49" max="50" width="10"/>
    <col min="51" max="51" width="16.625" customWidth="1"/>
  </cols>
  <sheetData>
    <row r="2" spans="2:47" ht="14.45" customHeight="1" x14ac:dyDescent="0.25">
      <c r="E2" s="78" t="s">
        <v>348</v>
      </c>
      <c r="F2" s="77"/>
      <c r="G2" s="77"/>
      <c r="H2" s="77"/>
      <c r="I2" s="77"/>
      <c r="J2" s="77"/>
      <c r="R2" s="22" t="s">
        <v>349</v>
      </c>
    </row>
    <row r="3" spans="2:47" ht="30" x14ac:dyDescent="0.2">
      <c r="S3" s="107" t="s">
        <v>260</v>
      </c>
      <c r="T3" s="107" t="s">
        <v>257</v>
      </c>
      <c r="U3" s="107" t="s">
        <v>173</v>
      </c>
      <c r="V3" s="107" t="s">
        <v>350</v>
      </c>
      <c r="Z3" s="113" t="s">
        <v>351</v>
      </c>
    </row>
    <row r="4" spans="2:47" ht="48.95" customHeight="1" x14ac:dyDescent="0.25">
      <c r="E4" s="22" t="s">
        <v>352</v>
      </c>
      <c r="R4" s="107" t="s">
        <v>353</v>
      </c>
      <c r="S4" s="119">
        <v>0.36</v>
      </c>
      <c r="T4" s="115">
        <f>1/S4</f>
        <v>2.7777777777777777</v>
      </c>
      <c r="U4" s="115">
        <f>S4*$Z$4</f>
        <v>2.0441746800000002</v>
      </c>
      <c r="V4" s="115">
        <f>VLOOKUP(U4,$B$7:$C$37,2,TRUE)</f>
        <v>7</v>
      </c>
      <c r="Z4" s="114">
        <v>5.6782630000000003</v>
      </c>
      <c r="AF4" s="87"/>
      <c r="AH4" s="87"/>
      <c r="AI4" s="87"/>
      <c r="AJ4" s="87"/>
      <c r="AK4" s="87"/>
    </row>
    <row r="5" spans="2:47" ht="15" x14ac:dyDescent="0.25">
      <c r="B5" s="15" t="s">
        <v>354</v>
      </c>
      <c r="C5" s="15" t="s">
        <v>355</v>
      </c>
      <c r="D5" s="6"/>
      <c r="R5" s="107" t="s">
        <v>356</v>
      </c>
      <c r="S5" s="119">
        <v>0.44</v>
      </c>
      <c r="T5" s="115">
        <f>1/S5</f>
        <v>2.2727272727272729</v>
      </c>
      <c r="U5" s="115">
        <f>S5*$Z$4</f>
        <v>2.4984357200000002</v>
      </c>
      <c r="V5" s="115">
        <f>VLOOKUP(U5,$B$7:$C$37,2,TRUE)</f>
        <v>9</v>
      </c>
      <c r="AF5" s="87"/>
      <c r="AG5" s="87"/>
      <c r="AH5" s="87"/>
      <c r="AI5" s="87"/>
      <c r="AJ5" s="87"/>
      <c r="AK5" s="87"/>
    </row>
    <row r="6" spans="2:47" ht="15" x14ac:dyDescent="0.25">
      <c r="B6" s="15"/>
      <c r="C6" s="15"/>
      <c r="D6" s="6"/>
      <c r="R6" s="107" t="s">
        <v>357</v>
      </c>
      <c r="S6" s="106" t="str">
        <f xml:space="preserve"> "RSI &gt;= " &amp; TEXT(S5,"0,00")</f>
        <v>RSI &gt;= 0,44</v>
      </c>
      <c r="T6" s="106" t="str">
        <f xml:space="preserve"> "U &lt;= " &amp; TEXT(T5,"0,00")</f>
        <v>U &lt;= 2,27</v>
      </c>
      <c r="U6" s="106" t="str">
        <f xml:space="preserve"> "R &gt;= " &amp; TEXT(U5,"0,00")</f>
        <v>R &gt;= 2,50</v>
      </c>
      <c r="V6" s="97"/>
      <c r="AF6" s="87"/>
      <c r="AG6" s="87"/>
      <c r="AH6" s="87"/>
      <c r="AI6" s="87"/>
      <c r="AJ6" s="87"/>
      <c r="AK6" s="87"/>
    </row>
    <row r="7" spans="2:47" ht="15" x14ac:dyDescent="0.25">
      <c r="B7" s="7">
        <v>0</v>
      </c>
      <c r="C7" s="7">
        <v>1</v>
      </c>
      <c r="D7" s="1"/>
      <c r="E7" s="22" t="s">
        <v>358</v>
      </c>
      <c r="M7" s="22" t="s">
        <v>359</v>
      </c>
      <c r="Z7" s="22" t="s">
        <v>360</v>
      </c>
    </row>
    <row r="8" spans="2:47" ht="21.95" customHeight="1" x14ac:dyDescent="0.2">
      <c r="B8" s="7">
        <v>0.8</v>
      </c>
      <c r="C8" s="7">
        <v>1</v>
      </c>
      <c r="D8" s="1"/>
      <c r="M8" s="108">
        <f>'2 - Description of the work'!$H$10</f>
        <v>0</v>
      </c>
      <c r="R8" s="108">
        <f>'2 - Description of the work'!$H$8</f>
        <v>0</v>
      </c>
      <c r="AT8" s="84"/>
    </row>
    <row r="9" spans="2:47" ht="45" x14ac:dyDescent="0.2">
      <c r="B9" s="7">
        <v>1</v>
      </c>
      <c r="C9" s="7">
        <v>2</v>
      </c>
      <c r="D9" s="1"/>
      <c r="E9" s="113" t="s">
        <v>361</v>
      </c>
      <c r="F9" s="113" t="str">
        <f>"Admissible 
(si R&gt;=" &amp; TEXT($U$5,"0,00") &amp;")"</f>
        <v>Admissible 
(si R&gt;=2,50)</v>
      </c>
      <c r="G9" s="113" t="s">
        <v>362</v>
      </c>
      <c r="H9" s="113" t="s">
        <v>350</v>
      </c>
      <c r="I9" s="113" t="s">
        <v>363</v>
      </c>
      <c r="J9" s="113" t="s">
        <v>256</v>
      </c>
      <c r="K9" s="113" t="s">
        <v>194</v>
      </c>
      <c r="M9" s="113" t="s">
        <v>364</v>
      </c>
      <c r="N9" s="113" t="s">
        <v>365</v>
      </c>
      <c r="O9" s="113" t="s">
        <v>366</v>
      </c>
      <c r="P9" s="113" t="s">
        <v>367</v>
      </c>
      <c r="Q9" s="113" t="s">
        <v>59</v>
      </c>
      <c r="R9" s="113" t="s">
        <v>368</v>
      </c>
      <c r="S9" s="113" t="s">
        <v>369</v>
      </c>
      <c r="T9" s="113" t="s">
        <v>370</v>
      </c>
      <c r="U9" s="113" t="s">
        <v>371</v>
      </c>
      <c r="V9" s="113" t="s">
        <v>75</v>
      </c>
      <c r="W9" s="113" t="s">
        <v>372</v>
      </c>
      <c r="X9" s="113" t="s">
        <v>373</v>
      </c>
      <c r="Z9" s="113" t="s">
        <v>374</v>
      </c>
      <c r="AA9" s="113" t="s">
        <v>375</v>
      </c>
      <c r="AB9" s="113" t="s">
        <v>376</v>
      </c>
      <c r="AC9" s="113" t="s">
        <v>377</v>
      </c>
      <c r="AD9" s="113" t="s">
        <v>378</v>
      </c>
      <c r="AE9" s="113" t="s">
        <v>379</v>
      </c>
      <c r="AF9" s="113" t="s">
        <v>380</v>
      </c>
      <c r="AG9" s="113" t="s">
        <v>381</v>
      </c>
      <c r="AH9" s="113" t="s">
        <v>382</v>
      </c>
      <c r="AI9" s="113" t="s">
        <v>383</v>
      </c>
      <c r="AT9" s="86"/>
    </row>
    <row r="10" spans="2:47" x14ac:dyDescent="0.2">
      <c r="B10" s="7">
        <v>1.2</v>
      </c>
      <c r="C10" s="7">
        <v>3</v>
      </c>
      <c r="D10" s="1"/>
      <c r="E10" s="106">
        <v>1</v>
      </c>
      <c r="F10" s="106">
        <f>IF( (G10&gt;=$U$5),1,0)</f>
        <v>0</v>
      </c>
      <c r="G10" s="115">
        <f>IFERROR(  P10*(M10="R") + P10*$Z$4*(M10="RSI") + $Z$4/P10*(M10="U"),0)</f>
        <v>0</v>
      </c>
      <c r="H10" s="106">
        <f t="shared" ref="H10:H13" si="0">VLOOKUP(G10,$B$7:$C$37,2,TRUE)</f>
        <v>1</v>
      </c>
      <c r="I10" s="115">
        <f ca="1">IF((H10&gt;$V$4)*(H10&gt;=$V$5),OFFSET('MJ par m² fenêtre'!$B$2,H10-$V$4,$V$4*2-1),0)</f>
        <v>0</v>
      </c>
      <c r="J10" s="116">
        <f>(F10)*IF( R10="m²", Q10, IF( R10 ="ft²", Q10*0.092903, 0 ))</f>
        <v>0</v>
      </c>
      <c r="K10" s="118">
        <f t="shared" ref="K10:K13" ca="1" si="1">I10*J10</f>
        <v>0</v>
      </c>
      <c r="M10" s="106">
        <f>$M$8</f>
        <v>0</v>
      </c>
      <c r="N10" s="115">
        <f>'2 - Description of the work'!E17</f>
        <v>0</v>
      </c>
      <c r="O10" s="115">
        <f>IFERROR(Z10*(M10="R")+AA10*(M10="RSI")+AB10*(M10="U"),0)</f>
        <v>0</v>
      </c>
      <c r="P10" s="115">
        <f>IFERROR(IF(N10&gt;0,N10,O10),0)</f>
        <v>0</v>
      </c>
      <c r="Q10" s="106">
        <f>'2 - Description of the work'!D17</f>
        <v>0</v>
      </c>
      <c r="R10" s="106">
        <f>$R$8</f>
        <v>0</v>
      </c>
      <c r="S10" s="106">
        <f>'2 - Description of the work'!D31</f>
        <v>0</v>
      </c>
      <c r="T10" s="106">
        <f>'2 - Description of the work'!E31</f>
        <v>0</v>
      </c>
      <c r="U10" s="106">
        <f>'2 - Description of the work'!F31</f>
        <v>0</v>
      </c>
      <c r="V10" s="106">
        <f>'2 - Description of the work'!G31</f>
        <v>0</v>
      </c>
      <c r="W10" s="106">
        <f>'2 - Description of the work'!H31</f>
        <v>0</v>
      </c>
      <c r="X10" s="106">
        <f>'2 - Description of the work'!I31</f>
        <v>0</v>
      </c>
      <c r="Z10" s="115">
        <f>IFERROR(VLOOKUP(AC10,'R fenêtre'!$A$2:$I$109,9,FALSE),0)</f>
        <v>0</v>
      </c>
      <c r="AA10" s="115">
        <f>Z10/$Z$4</f>
        <v>0</v>
      </c>
      <c r="AB10" s="115">
        <f>IF((AA10&gt;0),1/AA10,0)</f>
        <v>0</v>
      </c>
      <c r="AC10" s="117" t="e">
        <f t="shared" ref="AC10:AC13" si="2">SUM(AD10:AI10)</f>
        <v>#N/A</v>
      </c>
      <c r="AD10" s="117" t="e">
        <f>VLOOKUP(S10,Contrôle!$C$5:$D$7,2,FALSE)</f>
        <v>#N/A</v>
      </c>
      <c r="AE10" s="117" t="e">
        <f>VLOOKUP(T10,Contrôle!$C$3:$D$4,2,FALSE)</f>
        <v>#N/A</v>
      </c>
      <c r="AF10" s="117" t="e">
        <f>VLOOKUP(U10,Contrôle!$C$8:$D$10,2,FALSE)</f>
        <v>#N/A</v>
      </c>
      <c r="AG10" s="117" t="e">
        <f>VLOOKUP(V10,Contrôle!$C$11:$D$13,2,FALSE)</f>
        <v>#N/A</v>
      </c>
      <c r="AH10" s="117" t="e">
        <f>VLOOKUP(W10,Contrôle!$C$14:$D$15,2,FALSE)</f>
        <v>#N/A</v>
      </c>
      <c r="AI10" s="117" t="e">
        <f>VLOOKUP(X10,Contrôle!$C$16:$D$17,2,FALSE)</f>
        <v>#N/A</v>
      </c>
      <c r="AT10" s="86"/>
    </row>
    <row r="11" spans="2:47" x14ac:dyDescent="0.2">
      <c r="B11" s="7">
        <v>1.4</v>
      </c>
      <c r="C11" s="7">
        <v>4</v>
      </c>
      <c r="D11" s="1"/>
      <c r="E11" s="106">
        <v>2</v>
      </c>
      <c r="F11" s="106">
        <f>IF( (G11&gt;=$U$5),1,0)</f>
        <v>0</v>
      </c>
      <c r="G11" s="115">
        <f>IFERROR(  P11*(M11="R") + P11*$Z$4*(M11="RSI") + $Z$4/P11*(M11="U"),0)</f>
        <v>0</v>
      </c>
      <c r="H11" s="106">
        <f t="shared" si="0"/>
        <v>1</v>
      </c>
      <c r="I11" s="115">
        <f ca="1">IF((H11&gt;$V$4)*(H11&gt;=$V$5),OFFSET('MJ par m² fenêtre'!$B$2,H11-$V$4,$V$4*2-1),0)</f>
        <v>0</v>
      </c>
      <c r="J11" s="116">
        <f>(F11)*IF( R11="m²", Q11, IF( R11 ="ft²", Q11*0.092903, 0 ))</f>
        <v>0</v>
      </c>
      <c r="K11" s="118">
        <f t="shared" ca="1" si="1"/>
        <v>0</v>
      </c>
      <c r="M11" s="106">
        <f>$M$8</f>
        <v>0</v>
      </c>
      <c r="N11" s="115">
        <f>'2 - Description of the work'!E18</f>
        <v>0</v>
      </c>
      <c r="O11" s="115">
        <f>IFERROR(Z11*(M11="R")+AA11*(M11="RSI")+AB11*(M11="U"),0)</f>
        <v>0</v>
      </c>
      <c r="P11" s="115">
        <f t="shared" ref="P11:P13" si="3">IFERROR(IF(N11&gt;0,N11,O11),0)</f>
        <v>0</v>
      </c>
      <c r="Q11" s="106">
        <f>'2 - Description of the work'!D18</f>
        <v>0</v>
      </c>
      <c r="R11" s="106">
        <f>$R$8</f>
        <v>0</v>
      </c>
      <c r="S11" s="106">
        <f>'2 - Description of the work'!D32</f>
        <v>0</v>
      </c>
      <c r="T11" s="106">
        <f>'2 - Description of the work'!E32</f>
        <v>0</v>
      </c>
      <c r="U11" s="106">
        <f>'2 - Description of the work'!F32</f>
        <v>0</v>
      </c>
      <c r="V11" s="106">
        <f>'2 - Description of the work'!G32</f>
        <v>0</v>
      </c>
      <c r="W11" s="106">
        <f>'2 - Description of the work'!H32</f>
        <v>0</v>
      </c>
      <c r="X11" s="106">
        <f>'2 - Description of the work'!I32</f>
        <v>0</v>
      </c>
      <c r="Z11" s="115">
        <f>IFERROR(VLOOKUP(AC11,'R fenêtre'!$A$2:$I$109,9,FALSE),0)</f>
        <v>0</v>
      </c>
      <c r="AA11" s="115">
        <f>Z11/$Z$4</f>
        <v>0</v>
      </c>
      <c r="AB11" s="115">
        <f t="shared" ref="AB11:AB13" si="4">IF((AA11&gt;0),1/AA11,0)</f>
        <v>0</v>
      </c>
      <c r="AC11" s="115" t="e">
        <f t="shared" si="2"/>
        <v>#N/A</v>
      </c>
      <c r="AD11" s="115" t="e">
        <f>VLOOKUP(S11,Contrôle!$C$5:$D$7,2,FALSE)</f>
        <v>#N/A</v>
      </c>
      <c r="AE11" s="115" t="e">
        <f>VLOOKUP(T11,Contrôle!$C$3:$D$4,2,FALSE)</f>
        <v>#N/A</v>
      </c>
      <c r="AF11" s="115" t="e">
        <f>VLOOKUP(U11,Contrôle!$C$8:$D$10,2,FALSE)</f>
        <v>#N/A</v>
      </c>
      <c r="AG11" s="115" t="e">
        <f>VLOOKUP(V11,Contrôle!$C$11:$D$13,2,FALSE)</f>
        <v>#N/A</v>
      </c>
      <c r="AH11" s="115" t="e">
        <f>VLOOKUP(W11,Contrôle!$C$14:$D$15,2,FALSE)</f>
        <v>#N/A</v>
      </c>
      <c r="AI11" s="115" t="e">
        <f>VLOOKUP(X11,Contrôle!$C$16:$D$17,2,FALSE)</f>
        <v>#N/A</v>
      </c>
      <c r="AT11" s="86"/>
    </row>
    <row r="12" spans="2:47" x14ac:dyDescent="0.2">
      <c r="B12" s="7">
        <v>1.6</v>
      </c>
      <c r="C12" s="7">
        <v>5</v>
      </c>
      <c r="D12" s="1"/>
      <c r="E12" s="106">
        <v>3</v>
      </c>
      <c r="F12" s="106">
        <f>IF( (G12&gt;=$U$5),1,0)</f>
        <v>0</v>
      </c>
      <c r="G12" s="115">
        <f>IFERROR(  P12*(M12="R") + P12*$Z$4*(M12="RSI") + $Z$4/P12*(M12="U"),0)</f>
        <v>0</v>
      </c>
      <c r="H12" s="106">
        <f t="shared" si="0"/>
        <v>1</v>
      </c>
      <c r="I12" s="115">
        <f ca="1">IF((H12&gt;$V$4)*(H12&gt;=$V$5),OFFSET('MJ par m² fenêtre'!$B$2,H12-$V$4,$V$4*2-1),0)</f>
        <v>0</v>
      </c>
      <c r="J12" s="116">
        <f>(F12)*IF( R12="m²", Q12, IF( R12 ="ft²", Q12*0.092903, 0 ))</f>
        <v>0</v>
      </c>
      <c r="K12" s="118">
        <f t="shared" ca="1" si="1"/>
        <v>0</v>
      </c>
      <c r="M12" s="106">
        <f>$M$8</f>
        <v>0</v>
      </c>
      <c r="N12" s="115">
        <f>'2 - Description of the work'!E19</f>
        <v>0</v>
      </c>
      <c r="O12" s="115">
        <f>IFERROR(Z12*(M12="R")+AA12*(M12="RSI")+AB12*(M12="U"),0)</f>
        <v>0</v>
      </c>
      <c r="P12" s="115">
        <f t="shared" si="3"/>
        <v>0</v>
      </c>
      <c r="Q12" s="106">
        <f>'2 - Description of the work'!D19</f>
        <v>0</v>
      </c>
      <c r="R12" s="106">
        <f>$R$8</f>
        <v>0</v>
      </c>
      <c r="S12" s="106">
        <f>'2 - Description of the work'!D33</f>
        <v>0</v>
      </c>
      <c r="T12" s="106">
        <f>'2 - Description of the work'!E33</f>
        <v>0</v>
      </c>
      <c r="U12" s="106">
        <f>'2 - Description of the work'!F33</f>
        <v>0</v>
      </c>
      <c r="V12" s="106">
        <f>'2 - Description of the work'!G33</f>
        <v>0</v>
      </c>
      <c r="W12" s="106">
        <f>'2 - Description of the work'!H33</f>
        <v>0</v>
      </c>
      <c r="X12" s="106">
        <f>'2 - Description of the work'!I33</f>
        <v>0</v>
      </c>
      <c r="Z12" s="115">
        <f>IFERROR(VLOOKUP(AC12,'R fenêtre'!$A$2:$I$109,9,FALSE),0)</f>
        <v>0</v>
      </c>
      <c r="AA12" s="115">
        <f>Z12/$Z$4</f>
        <v>0</v>
      </c>
      <c r="AB12" s="115">
        <f t="shared" si="4"/>
        <v>0</v>
      </c>
      <c r="AC12" s="115" t="e">
        <f t="shared" si="2"/>
        <v>#N/A</v>
      </c>
      <c r="AD12" s="115" t="e">
        <f>VLOOKUP(S12,Contrôle!$C$5:$D$7,2,FALSE)</f>
        <v>#N/A</v>
      </c>
      <c r="AE12" s="115" t="e">
        <f>VLOOKUP(T12,Contrôle!$C$3:$D$4,2,FALSE)</f>
        <v>#N/A</v>
      </c>
      <c r="AF12" s="115" t="e">
        <f>VLOOKUP(U12,Contrôle!$C$8:$D$10,2,FALSE)</f>
        <v>#N/A</v>
      </c>
      <c r="AG12" s="115" t="e">
        <f>VLOOKUP(V12,Contrôle!$C$11:$D$13,2,FALSE)</f>
        <v>#N/A</v>
      </c>
      <c r="AH12" s="115" t="e">
        <f>VLOOKUP(W12,Contrôle!$C$14:$D$15,2,FALSE)</f>
        <v>#N/A</v>
      </c>
      <c r="AI12" s="115" t="e">
        <f>VLOOKUP(X12,Contrôle!$C$16:$D$17,2,FALSE)</f>
        <v>#N/A</v>
      </c>
      <c r="AT12" s="86"/>
    </row>
    <row r="13" spans="2:47" ht="15" x14ac:dyDescent="0.25">
      <c r="B13" s="7">
        <v>1.8</v>
      </c>
      <c r="C13" s="7">
        <v>6</v>
      </c>
      <c r="D13" s="1"/>
      <c r="E13" s="106">
        <v>4</v>
      </c>
      <c r="F13" s="106">
        <f>IF( (G13&gt;=$U$5),1,0)</f>
        <v>0</v>
      </c>
      <c r="G13" s="115">
        <f>IFERROR(  P13*(M13="R") + P13*$Z$4*(M13="RSI") + $Z$4/P13*(M13="U"),0)</f>
        <v>0</v>
      </c>
      <c r="H13" s="106">
        <f t="shared" si="0"/>
        <v>1</v>
      </c>
      <c r="I13" s="115">
        <f ca="1">IF((H13&gt;$V$4)*(H13&gt;=$V$5),OFFSET('MJ par m² fenêtre'!$B$2,H13-$V$4,$V$4*2-1),0)</f>
        <v>0</v>
      </c>
      <c r="J13" s="116">
        <f>(F13)*IF( R13="m²", Q13, IF( R13 ="ft²", Q13*0.092903, 0 ))</f>
        <v>0</v>
      </c>
      <c r="K13" s="118">
        <f t="shared" ca="1" si="1"/>
        <v>0</v>
      </c>
      <c r="M13" s="106">
        <f>$M$8</f>
        <v>0</v>
      </c>
      <c r="N13" s="115">
        <f>'2 - Description of the work'!E20</f>
        <v>0</v>
      </c>
      <c r="O13" s="115">
        <f>IFERROR(Z13*(M13="R")+AA13*(M13="RSI")+AB13*(M13="U"),0)</f>
        <v>0</v>
      </c>
      <c r="P13" s="115">
        <f t="shared" si="3"/>
        <v>0</v>
      </c>
      <c r="Q13" s="106">
        <f>'2 - Description of the work'!D20</f>
        <v>0</v>
      </c>
      <c r="R13" s="106">
        <f>$R$8</f>
        <v>0</v>
      </c>
      <c r="S13" s="106">
        <f>'2 - Description of the work'!D34</f>
        <v>0</v>
      </c>
      <c r="T13" s="106">
        <f>'2 - Description of the work'!E34</f>
        <v>0</v>
      </c>
      <c r="U13" s="106">
        <f>'2 - Description of the work'!F34</f>
        <v>0</v>
      </c>
      <c r="V13" s="106">
        <f>'2 - Description of the work'!G34</f>
        <v>0</v>
      </c>
      <c r="W13" s="106">
        <f>'2 - Description of the work'!H34</f>
        <v>0</v>
      </c>
      <c r="X13" s="106">
        <f>'2 - Description of the work'!I34</f>
        <v>0</v>
      </c>
      <c r="Z13" s="115">
        <f>IFERROR(VLOOKUP(AC13,'R fenêtre'!$A$2:$I$109,9,FALSE),0)</f>
        <v>0</v>
      </c>
      <c r="AA13" s="115">
        <f>Z13/$Z$4</f>
        <v>0</v>
      </c>
      <c r="AB13" s="115">
        <f t="shared" si="4"/>
        <v>0</v>
      </c>
      <c r="AC13" s="115" t="e">
        <f t="shared" si="2"/>
        <v>#N/A</v>
      </c>
      <c r="AD13" s="115" t="e">
        <f>VLOOKUP(S13,Contrôle!$C$5:$D$7,2,FALSE)</f>
        <v>#N/A</v>
      </c>
      <c r="AE13" s="115" t="e">
        <f>VLOOKUP(T13,Contrôle!$C$3:$D$4,2,FALSE)</f>
        <v>#N/A</v>
      </c>
      <c r="AF13" s="115" t="e">
        <f>VLOOKUP(U13,Contrôle!$C$8:$D$10,2,FALSE)</f>
        <v>#N/A</v>
      </c>
      <c r="AG13" s="115" t="e">
        <f>VLOOKUP(V13,Contrôle!$C$11:$D$13,2,FALSE)</f>
        <v>#N/A</v>
      </c>
      <c r="AH13" s="115" t="e">
        <f>VLOOKUP(W13,Contrôle!$C$14:$D$15,2,FALSE)</f>
        <v>#N/A</v>
      </c>
      <c r="AI13" s="115" t="e">
        <f>VLOOKUP(X13,Contrôle!$C$16:$D$17,2,FALSE)</f>
        <v>#N/A</v>
      </c>
      <c r="AT13" s="6"/>
      <c r="AU13" s="6"/>
    </row>
    <row r="14" spans="2:47" ht="15" x14ac:dyDescent="0.2">
      <c r="B14" s="7">
        <v>2</v>
      </c>
      <c r="C14" s="7">
        <v>7</v>
      </c>
      <c r="D14" s="1"/>
      <c r="E14" s="108" t="s">
        <v>384</v>
      </c>
      <c r="F14" s="110">
        <f>SUM(F10:F13)</f>
        <v>0</v>
      </c>
      <c r="I14" s="111" t="e">
        <f ca="1">K14/J14</f>
        <v>#DIV/0!</v>
      </c>
      <c r="J14" s="109">
        <f>SUM(J10:J13)</f>
        <v>0</v>
      </c>
      <c r="K14" s="112">
        <f ca="1">SUM(K10:K13)</f>
        <v>0</v>
      </c>
      <c r="Q14" s="112">
        <f>SUM(Q10:Q13)</f>
        <v>0</v>
      </c>
    </row>
    <row r="15" spans="2:47" ht="15" x14ac:dyDescent="0.25">
      <c r="B15" s="7">
        <v>2.2000000000000002</v>
      </c>
      <c r="C15" s="7">
        <v>8</v>
      </c>
      <c r="D15" s="1"/>
      <c r="AC15" s="22" t="s">
        <v>385</v>
      </c>
    </row>
    <row r="16" spans="2:47" ht="15" x14ac:dyDescent="0.25">
      <c r="B16" s="7">
        <v>2.4</v>
      </c>
      <c r="C16" s="7">
        <v>9</v>
      </c>
      <c r="D16" s="1"/>
      <c r="AC16" s="22" t="s">
        <v>386</v>
      </c>
    </row>
    <row r="17" spans="2:30" x14ac:dyDescent="0.2">
      <c r="B17" s="7">
        <v>2.6</v>
      </c>
      <c r="C17" s="7">
        <v>10</v>
      </c>
      <c r="D17" s="1"/>
      <c r="E17" s="594" t="s">
        <v>387</v>
      </c>
      <c r="F17" s="594"/>
      <c r="G17" s="594"/>
      <c r="H17" s="594"/>
      <c r="I17" s="594"/>
      <c r="J17" s="594"/>
    </row>
    <row r="18" spans="2:30" ht="35.450000000000003" customHeight="1" x14ac:dyDescent="0.2">
      <c r="B18" s="7">
        <v>2.8</v>
      </c>
      <c r="C18" s="7">
        <v>11</v>
      </c>
      <c r="D18" s="1"/>
      <c r="E18" s="594"/>
      <c r="F18" s="594"/>
      <c r="G18" s="594"/>
      <c r="H18" s="594"/>
      <c r="I18" s="594"/>
      <c r="J18" s="594"/>
    </row>
    <row r="19" spans="2:30" x14ac:dyDescent="0.2">
      <c r="B19" s="7">
        <v>3</v>
      </c>
      <c r="C19" s="7">
        <v>12</v>
      </c>
      <c r="D19" s="1"/>
      <c r="E19" s="594"/>
      <c r="F19" s="594"/>
      <c r="G19" s="594"/>
      <c r="H19" s="594"/>
      <c r="I19" s="594"/>
      <c r="J19" s="594"/>
    </row>
    <row r="20" spans="2:30" x14ac:dyDescent="0.2">
      <c r="B20" s="7">
        <v>3.2</v>
      </c>
      <c r="C20" s="7">
        <v>13</v>
      </c>
      <c r="D20" s="1"/>
    </row>
    <row r="21" spans="2:30" ht="15.75" customHeight="1" x14ac:dyDescent="0.2">
      <c r="B21" s="7">
        <v>3.4</v>
      </c>
      <c r="C21" s="7">
        <v>14</v>
      </c>
      <c r="D21" s="1"/>
      <c r="AD21" s="85"/>
    </row>
    <row r="22" spans="2:30" ht="15" x14ac:dyDescent="0.25">
      <c r="B22" s="7">
        <v>3.6</v>
      </c>
      <c r="C22" s="7">
        <v>15</v>
      </c>
      <c r="D22" s="1"/>
      <c r="E22" s="22" t="s">
        <v>388</v>
      </c>
    </row>
    <row r="23" spans="2:30" x14ac:dyDescent="0.2">
      <c r="B23" s="7">
        <v>3.8</v>
      </c>
      <c r="C23" s="7">
        <v>16</v>
      </c>
      <c r="D23" s="1"/>
    </row>
    <row r="24" spans="2:30" ht="30" x14ac:dyDescent="0.2">
      <c r="B24" s="7">
        <v>4</v>
      </c>
      <c r="C24" s="7">
        <v>17</v>
      </c>
      <c r="D24" s="1"/>
      <c r="E24" s="113" t="s">
        <v>389</v>
      </c>
      <c r="F24" s="113" t="s">
        <v>350</v>
      </c>
      <c r="G24" s="113" t="s">
        <v>390</v>
      </c>
    </row>
    <row r="25" spans="2:30" x14ac:dyDescent="0.2">
      <c r="B25" s="7">
        <v>4.2</v>
      </c>
      <c r="C25" s="7">
        <v>18</v>
      </c>
      <c r="D25" s="1"/>
      <c r="E25" s="115" t="e">
        <f ca="1">I14</f>
        <v>#DIV/0!</v>
      </c>
      <c r="F25" s="115" t="e">
        <f ca="1">MATCH(E25,OFFSET('MJ par m² fenêtre'!$B$2,0,$V$4*2-1,MAX(H10:H13)-$V$4+1),1)+$V$4-1</f>
        <v>#DIV/0!</v>
      </c>
      <c r="G25" s="115" t="e">
        <f ca="1">MAX(INDEX($B$7:$B$37,MATCH(F25,$C$7:$C$37,0)),_xlfn.MINIFS(G10:G13,F10:F13,"=1"))</f>
        <v>#DIV/0!</v>
      </c>
    </row>
    <row r="26" spans="2:30" x14ac:dyDescent="0.2">
      <c r="B26" s="7">
        <v>4.4000000000000004</v>
      </c>
      <c r="C26" s="7">
        <v>19</v>
      </c>
      <c r="D26" s="1"/>
    </row>
    <row r="27" spans="2:30" x14ac:dyDescent="0.2">
      <c r="B27" s="7">
        <v>4.5999999999999996</v>
      </c>
      <c r="C27" s="7">
        <v>20</v>
      </c>
      <c r="D27" s="1"/>
      <c r="E27" s="593" t="s">
        <v>391</v>
      </c>
      <c r="F27" s="593"/>
      <c r="G27" s="593"/>
      <c r="H27" s="593"/>
      <c r="I27" s="593"/>
      <c r="J27" s="593"/>
    </row>
    <row r="28" spans="2:30" x14ac:dyDescent="0.2">
      <c r="B28" s="7">
        <v>4.8</v>
      </c>
      <c r="C28" s="7">
        <v>21</v>
      </c>
      <c r="D28" s="1"/>
      <c r="E28" s="593"/>
      <c r="F28" s="593"/>
      <c r="G28" s="593"/>
      <c r="H28" s="593"/>
      <c r="I28" s="593"/>
      <c r="J28" s="593"/>
    </row>
    <row r="29" spans="2:30" x14ac:dyDescent="0.2">
      <c r="B29" s="7">
        <v>5</v>
      </c>
      <c r="C29" s="7">
        <v>22</v>
      </c>
      <c r="D29" s="1"/>
      <c r="E29" s="593"/>
      <c r="F29" s="593"/>
      <c r="G29" s="593"/>
      <c r="H29" s="593"/>
      <c r="I29" s="593"/>
      <c r="J29" s="593"/>
    </row>
    <row r="30" spans="2:30" x14ac:dyDescent="0.2">
      <c r="B30" s="7">
        <v>5.2</v>
      </c>
      <c r="C30" s="7">
        <v>23</v>
      </c>
      <c r="D30" s="1"/>
      <c r="E30" s="593"/>
      <c r="F30" s="593"/>
      <c r="G30" s="593"/>
      <c r="H30" s="593"/>
      <c r="I30" s="593"/>
      <c r="J30" s="593"/>
    </row>
    <row r="31" spans="2:30" x14ac:dyDescent="0.2">
      <c r="B31" s="7">
        <v>5.4</v>
      </c>
      <c r="C31" s="7">
        <v>24</v>
      </c>
      <c r="D31" s="1"/>
    </row>
    <row r="32" spans="2:30" x14ac:dyDescent="0.2">
      <c r="B32" s="7">
        <v>5.6</v>
      </c>
      <c r="C32" s="7">
        <v>25</v>
      </c>
      <c r="D32" s="1"/>
    </row>
    <row r="33" spans="2:4" x14ac:dyDescent="0.2">
      <c r="B33" s="7">
        <v>5.8</v>
      </c>
      <c r="C33" s="7">
        <v>26</v>
      </c>
      <c r="D33" s="1"/>
    </row>
    <row r="34" spans="2:4" x14ac:dyDescent="0.2">
      <c r="B34" s="7">
        <v>6</v>
      </c>
      <c r="C34" s="7">
        <v>27</v>
      </c>
      <c r="D34" s="1"/>
    </row>
    <row r="35" spans="2:4" x14ac:dyDescent="0.2">
      <c r="B35" s="7">
        <v>6.2</v>
      </c>
      <c r="C35" s="7">
        <v>28</v>
      </c>
      <c r="D35" s="1"/>
    </row>
    <row r="36" spans="2:4" x14ac:dyDescent="0.2">
      <c r="B36" s="7">
        <v>6.4</v>
      </c>
      <c r="C36" s="7">
        <v>29</v>
      </c>
      <c r="D36" s="1"/>
    </row>
    <row r="37" spans="2:4" x14ac:dyDescent="0.2">
      <c r="B37" s="7">
        <v>6.6</v>
      </c>
      <c r="C37" s="7">
        <v>30</v>
      </c>
      <c r="D37" s="1"/>
    </row>
    <row r="40" spans="2:4" x14ac:dyDescent="0.2">
      <c r="B40" t="s">
        <v>392</v>
      </c>
    </row>
    <row r="41" spans="2:4" ht="18" x14ac:dyDescent="0.2">
      <c r="B41" s="23" t="s">
        <v>393</v>
      </c>
    </row>
  </sheetData>
  <mergeCells count="2">
    <mergeCell ref="E27:J30"/>
    <mergeCell ref="E17:J19"/>
  </mergeCells>
  <pageMargins left="0.7" right="0.7" top="0.75" bottom="0.75" header="0.3" footer="0.3"/>
  <pageSetup orientation="portrait" verticalDpi="0" r:id="rId1"/>
  <customProperties>
    <customPr name="_pios_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14">
    <tabColor rgb="FF95D8F5"/>
  </sheetPr>
  <dimension ref="B1:BG34"/>
  <sheetViews>
    <sheetView showGridLines="0" workbookViewId="0">
      <selection activeCell="K34" sqref="K34"/>
    </sheetView>
  </sheetViews>
  <sheetFormatPr baseColWidth="10" defaultColWidth="11" defaultRowHeight="14.25" x14ac:dyDescent="0.2"/>
  <cols>
    <col min="1" max="1" width="1.5" customWidth="1"/>
  </cols>
  <sheetData>
    <row r="1" spans="2:59" ht="9" customHeight="1" x14ac:dyDescent="0.2"/>
    <row r="2" spans="2:59" x14ac:dyDescent="0.2">
      <c r="B2" s="8" t="s">
        <v>394</v>
      </c>
      <c r="C2" s="8" t="s">
        <v>395</v>
      </c>
      <c r="D2" s="8" t="s">
        <v>396</v>
      </c>
      <c r="E2" s="8" t="s">
        <v>395</v>
      </c>
      <c r="F2" s="8" t="s">
        <v>397</v>
      </c>
      <c r="G2" s="8" t="s">
        <v>395</v>
      </c>
      <c r="H2" s="8" t="s">
        <v>398</v>
      </c>
      <c r="I2" s="8" t="s">
        <v>395</v>
      </c>
      <c r="J2" s="8" t="s">
        <v>399</v>
      </c>
      <c r="K2" s="8" t="s">
        <v>395</v>
      </c>
      <c r="L2" s="8" t="s">
        <v>400</v>
      </c>
      <c r="M2" s="8" t="s">
        <v>395</v>
      </c>
      <c r="N2" s="8" t="s">
        <v>401</v>
      </c>
      <c r="O2" s="8" t="s">
        <v>395</v>
      </c>
      <c r="P2" s="8" t="s">
        <v>402</v>
      </c>
      <c r="Q2" s="8" t="s">
        <v>395</v>
      </c>
      <c r="R2" s="8" t="s">
        <v>403</v>
      </c>
      <c r="S2" s="8" t="s">
        <v>395</v>
      </c>
      <c r="T2" s="8" t="s">
        <v>404</v>
      </c>
      <c r="U2" s="8" t="s">
        <v>395</v>
      </c>
      <c r="V2" s="8" t="s">
        <v>405</v>
      </c>
      <c r="W2" s="8" t="s">
        <v>395</v>
      </c>
      <c r="X2" s="8" t="s">
        <v>406</v>
      </c>
      <c r="Y2" s="8" t="s">
        <v>395</v>
      </c>
      <c r="Z2" s="8" t="s">
        <v>407</v>
      </c>
      <c r="AA2" s="8" t="s">
        <v>395</v>
      </c>
      <c r="AB2" s="8" t="s">
        <v>408</v>
      </c>
      <c r="AC2" s="8" t="s">
        <v>395</v>
      </c>
      <c r="AD2" s="8" t="s">
        <v>409</v>
      </c>
      <c r="AE2" s="8" t="s">
        <v>395</v>
      </c>
      <c r="AF2" s="8" t="s">
        <v>410</v>
      </c>
      <c r="AG2" s="8" t="s">
        <v>395</v>
      </c>
      <c r="AH2" s="8" t="s">
        <v>411</v>
      </c>
      <c r="AI2" s="8" t="s">
        <v>395</v>
      </c>
      <c r="AJ2" s="8" t="s">
        <v>412</v>
      </c>
      <c r="AK2" s="8" t="s">
        <v>395</v>
      </c>
      <c r="AL2" s="8" t="s">
        <v>413</v>
      </c>
      <c r="AM2" s="8" t="s">
        <v>395</v>
      </c>
      <c r="AN2" s="8" t="s">
        <v>414</v>
      </c>
      <c r="AO2" s="8" t="s">
        <v>395</v>
      </c>
      <c r="AP2" s="8" t="s">
        <v>415</v>
      </c>
      <c r="AQ2" s="8" t="s">
        <v>395</v>
      </c>
      <c r="AR2" s="8" t="s">
        <v>416</v>
      </c>
      <c r="AS2" s="8" t="s">
        <v>395</v>
      </c>
      <c r="AT2" s="8" t="s">
        <v>417</v>
      </c>
      <c r="AU2" s="8" t="s">
        <v>395</v>
      </c>
      <c r="AV2" s="8" t="s">
        <v>418</v>
      </c>
      <c r="AW2" s="8" t="s">
        <v>395</v>
      </c>
      <c r="AX2" s="8" t="s">
        <v>419</v>
      </c>
      <c r="AY2" s="8" t="s">
        <v>395</v>
      </c>
      <c r="AZ2" s="8" t="s">
        <v>420</v>
      </c>
      <c r="BA2" s="8" t="s">
        <v>395</v>
      </c>
      <c r="BB2" s="8" t="s">
        <v>421</v>
      </c>
      <c r="BC2" s="8" t="s">
        <v>395</v>
      </c>
      <c r="BD2" s="8" t="s">
        <v>422</v>
      </c>
      <c r="BE2" s="8" t="s">
        <v>395</v>
      </c>
      <c r="BF2" s="8" t="s">
        <v>423</v>
      </c>
      <c r="BG2" s="8" t="s">
        <v>395</v>
      </c>
    </row>
    <row r="3" spans="2:59" x14ac:dyDescent="0.2">
      <c r="B3" s="8">
        <v>2</v>
      </c>
      <c r="C3" s="11">
        <v>453.4</v>
      </c>
      <c r="D3" s="8">
        <v>3</v>
      </c>
      <c r="E3" s="11">
        <v>325.89999999999998</v>
      </c>
      <c r="F3" s="8">
        <v>4</v>
      </c>
      <c r="G3" s="11">
        <v>244.4</v>
      </c>
      <c r="H3" s="8">
        <v>5</v>
      </c>
      <c r="I3" s="11">
        <v>189.6</v>
      </c>
      <c r="J3" s="8">
        <v>6</v>
      </c>
      <c r="K3" s="8">
        <v>151.19999999999999</v>
      </c>
      <c r="L3" s="8">
        <v>7</v>
      </c>
      <c r="M3" s="11">
        <v>123.4</v>
      </c>
      <c r="N3" s="8">
        <v>8</v>
      </c>
      <c r="O3" s="11">
        <v>102.5</v>
      </c>
      <c r="P3" s="8">
        <v>9</v>
      </c>
      <c r="Q3" s="11">
        <v>86.5</v>
      </c>
      <c r="R3" s="8">
        <v>10</v>
      </c>
      <c r="S3" s="11">
        <v>73.900000000000006</v>
      </c>
      <c r="T3" s="8">
        <v>11</v>
      </c>
      <c r="U3" s="11">
        <v>63.9</v>
      </c>
      <c r="V3" s="8">
        <v>12</v>
      </c>
      <c r="W3" s="11">
        <v>55.8</v>
      </c>
      <c r="X3" s="8">
        <v>13</v>
      </c>
      <c r="Y3" s="11">
        <v>49.2</v>
      </c>
      <c r="Z3" s="8">
        <v>14</v>
      </c>
      <c r="AA3" s="11">
        <v>43.6</v>
      </c>
      <c r="AB3" s="8">
        <v>15</v>
      </c>
      <c r="AC3" s="11">
        <v>39</v>
      </c>
      <c r="AD3" s="8">
        <v>16</v>
      </c>
      <c r="AE3" s="11">
        <v>35</v>
      </c>
      <c r="AF3" s="8">
        <v>17</v>
      </c>
      <c r="AG3" s="11">
        <v>31.6</v>
      </c>
      <c r="AH3" s="8">
        <v>18</v>
      </c>
      <c r="AI3" s="11">
        <v>28.7</v>
      </c>
      <c r="AJ3" s="8">
        <v>19</v>
      </c>
      <c r="AK3" s="11">
        <v>26.2</v>
      </c>
      <c r="AL3" s="8">
        <v>20</v>
      </c>
      <c r="AM3" s="11">
        <v>24</v>
      </c>
      <c r="AN3" s="8">
        <v>21</v>
      </c>
      <c r="AO3" s="11">
        <v>22.1</v>
      </c>
      <c r="AP3" s="8">
        <v>22</v>
      </c>
      <c r="AQ3" s="11">
        <v>20.3</v>
      </c>
      <c r="AR3" s="8">
        <v>23</v>
      </c>
      <c r="AS3" s="8">
        <v>18.8</v>
      </c>
      <c r="AT3" s="8">
        <v>24</v>
      </c>
      <c r="AU3" s="11">
        <v>17.5</v>
      </c>
      <c r="AV3" s="8">
        <v>25</v>
      </c>
      <c r="AW3" s="11">
        <v>16.2</v>
      </c>
      <c r="AX3" s="8">
        <v>26</v>
      </c>
      <c r="AY3" s="11">
        <v>15.2</v>
      </c>
      <c r="AZ3" s="8">
        <v>27</v>
      </c>
      <c r="BA3" s="8">
        <v>14.2</v>
      </c>
      <c r="BB3" s="8">
        <v>28</v>
      </c>
      <c r="BC3" s="8">
        <v>13.3</v>
      </c>
      <c r="BD3" s="8">
        <v>29</v>
      </c>
      <c r="BE3" s="8">
        <v>12.5</v>
      </c>
      <c r="BF3" s="8">
        <v>30</v>
      </c>
      <c r="BG3" s="8">
        <v>11.7</v>
      </c>
    </row>
    <row r="4" spans="2:59" x14ac:dyDescent="0.2">
      <c r="B4" s="8">
        <v>3</v>
      </c>
      <c r="C4" s="11">
        <v>779.4</v>
      </c>
      <c r="D4" s="8">
        <v>4</v>
      </c>
      <c r="E4" s="11">
        <v>570.29999999999995</v>
      </c>
      <c r="F4" s="8">
        <v>5</v>
      </c>
      <c r="G4" s="11">
        <v>434</v>
      </c>
      <c r="H4" s="8">
        <v>6</v>
      </c>
      <c r="I4" s="11">
        <v>340.9</v>
      </c>
      <c r="J4" s="8">
        <v>7</v>
      </c>
      <c r="K4" s="8">
        <v>274.60000000000002</v>
      </c>
      <c r="L4" s="8">
        <v>8</v>
      </c>
      <c r="M4" s="11">
        <v>225.9</v>
      </c>
      <c r="N4" s="8">
        <v>9</v>
      </c>
      <c r="O4" s="11">
        <v>189</v>
      </c>
      <c r="P4" s="8">
        <v>10</v>
      </c>
      <c r="Q4" s="11">
        <v>160.4</v>
      </c>
      <c r="R4" s="8">
        <v>11</v>
      </c>
      <c r="S4" s="11">
        <v>137.9</v>
      </c>
      <c r="T4" s="8">
        <v>12</v>
      </c>
      <c r="U4" s="11">
        <v>119.8</v>
      </c>
      <c r="V4" s="8">
        <v>13</v>
      </c>
      <c r="W4" s="11">
        <v>105</v>
      </c>
      <c r="X4" s="8">
        <v>14</v>
      </c>
      <c r="Y4" s="11">
        <v>92.8</v>
      </c>
      <c r="Z4" s="8">
        <v>15</v>
      </c>
      <c r="AA4" s="11">
        <v>82.6</v>
      </c>
      <c r="AB4" s="8">
        <v>16</v>
      </c>
      <c r="AC4" s="11">
        <v>74</v>
      </c>
      <c r="AD4" s="8">
        <v>17</v>
      </c>
      <c r="AE4" s="11">
        <v>66.7</v>
      </c>
      <c r="AF4" s="8">
        <v>18</v>
      </c>
      <c r="AG4" s="11">
        <v>60.4</v>
      </c>
      <c r="AH4" s="8">
        <v>19</v>
      </c>
      <c r="AI4" s="11">
        <v>54.9</v>
      </c>
      <c r="AJ4" s="8">
        <v>20</v>
      </c>
      <c r="AK4" s="11">
        <v>50.2</v>
      </c>
      <c r="AL4" s="8">
        <v>21</v>
      </c>
      <c r="AM4" s="11">
        <v>46.1</v>
      </c>
      <c r="AN4" s="8">
        <v>22</v>
      </c>
      <c r="AO4" s="11">
        <v>42.4</v>
      </c>
      <c r="AP4" s="8">
        <v>23</v>
      </c>
      <c r="AQ4" s="11">
        <v>39.200000000000003</v>
      </c>
      <c r="AR4" s="8">
        <v>24</v>
      </c>
      <c r="AS4" s="8">
        <v>36.299999999999997</v>
      </c>
      <c r="AT4" s="8">
        <v>25</v>
      </c>
      <c r="AU4" s="11">
        <v>33.700000000000003</v>
      </c>
      <c r="AV4" s="8">
        <v>26</v>
      </c>
      <c r="AW4" s="11">
        <v>31.4</v>
      </c>
      <c r="AX4" s="8">
        <v>27</v>
      </c>
      <c r="AY4" s="11">
        <v>29.3</v>
      </c>
      <c r="AZ4" s="8">
        <v>28</v>
      </c>
      <c r="BA4" s="8">
        <v>27.4</v>
      </c>
      <c r="BB4" s="8">
        <v>29</v>
      </c>
      <c r="BC4" s="8">
        <v>25.7</v>
      </c>
      <c r="BD4" s="8">
        <v>30</v>
      </c>
      <c r="BE4" s="8">
        <v>24.2</v>
      </c>
    </row>
    <row r="5" spans="2:59" x14ac:dyDescent="0.2">
      <c r="B5" s="8">
        <v>4</v>
      </c>
      <c r="C5" s="11">
        <v>1023.8</v>
      </c>
      <c r="D5" s="8">
        <v>5</v>
      </c>
      <c r="E5" s="11">
        <v>760</v>
      </c>
      <c r="F5" s="8">
        <v>6</v>
      </c>
      <c r="G5" s="11">
        <v>585.29999999999995</v>
      </c>
      <c r="H5" s="8">
        <v>7</v>
      </c>
      <c r="I5" s="11">
        <v>464.2</v>
      </c>
      <c r="J5" s="8">
        <v>8</v>
      </c>
      <c r="K5" s="8">
        <v>377.1</v>
      </c>
      <c r="L5" s="8">
        <v>9</v>
      </c>
      <c r="M5" s="11">
        <v>312.39999999999998</v>
      </c>
      <c r="N5" s="8">
        <v>10</v>
      </c>
      <c r="O5" s="11">
        <v>262.89999999999998</v>
      </c>
      <c r="P5" s="8">
        <v>11</v>
      </c>
      <c r="Q5" s="11">
        <v>224.4</v>
      </c>
      <c r="R5" s="8">
        <v>12</v>
      </c>
      <c r="S5" s="11">
        <v>193.7</v>
      </c>
      <c r="T5" s="8">
        <v>13</v>
      </c>
      <c r="U5" s="11">
        <v>168.9</v>
      </c>
      <c r="V5" s="8">
        <v>14</v>
      </c>
      <c r="W5" s="11">
        <v>148.6</v>
      </c>
      <c r="X5" s="8">
        <v>15</v>
      </c>
      <c r="Y5" s="11">
        <v>131.80000000000001</v>
      </c>
      <c r="Z5" s="8">
        <v>16</v>
      </c>
      <c r="AA5" s="11">
        <v>117.6</v>
      </c>
      <c r="AB5" s="8">
        <v>17</v>
      </c>
      <c r="AC5" s="11">
        <v>105.7</v>
      </c>
      <c r="AD5" s="8">
        <v>18</v>
      </c>
      <c r="AE5" s="11">
        <v>95.4</v>
      </c>
      <c r="AF5" s="8">
        <v>19</v>
      </c>
      <c r="AG5" s="11">
        <v>86.6</v>
      </c>
      <c r="AH5" s="8">
        <v>20</v>
      </c>
      <c r="AI5" s="11">
        <v>78.900000000000006</v>
      </c>
      <c r="AJ5" s="8">
        <v>21</v>
      </c>
      <c r="AK5" s="11">
        <v>72.3</v>
      </c>
      <c r="AL5" s="8">
        <v>22</v>
      </c>
      <c r="AM5" s="11">
        <v>66.400000000000006</v>
      </c>
      <c r="AN5" s="8">
        <v>23</v>
      </c>
      <c r="AO5" s="11">
        <v>61.2</v>
      </c>
      <c r="AP5" s="8">
        <v>24</v>
      </c>
      <c r="AQ5" s="11">
        <v>56.6</v>
      </c>
      <c r="AR5" s="8">
        <v>25</v>
      </c>
      <c r="AS5" s="8">
        <v>52.5</v>
      </c>
      <c r="AT5" s="8">
        <v>26</v>
      </c>
      <c r="AU5" s="11">
        <v>48.9</v>
      </c>
      <c r="AV5" s="8">
        <v>27</v>
      </c>
      <c r="AW5" s="11">
        <v>45.6</v>
      </c>
      <c r="AX5" s="8">
        <v>28</v>
      </c>
      <c r="AY5" s="11">
        <v>42.6</v>
      </c>
      <c r="AZ5" s="8">
        <v>29</v>
      </c>
      <c r="BA5" s="8">
        <v>39.9</v>
      </c>
      <c r="BB5" s="8">
        <v>30</v>
      </c>
      <c r="BC5" s="8">
        <v>37.4</v>
      </c>
    </row>
    <row r="6" spans="2:59" x14ac:dyDescent="0.2">
      <c r="B6" s="8">
        <v>5</v>
      </c>
      <c r="C6" s="11">
        <v>1213.4000000000001</v>
      </c>
      <c r="D6" s="8">
        <v>6</v>
      </c>
      <c r="E6" s="11">
        <v>911.2</v>
      </c>
      <c r="F6" s="8">
        <v>7</v>
      </c>
      <c r="G6" s="11">
        <v>708.6</v>
      </c>
      <c r="H6" s="8">
        <v>8</v>
      </c>
      <c r="I6" s="11">
        <v>566.70000000000005</v>
      </c>
      <c r="J6" s="8">
        <v>9</v>
      </c>
      <c r="K6" s="8">
        <v>463.6</v>
      </c>
      <c r="L6" s="8">
        <v>10</v>
      </c>
      <c r="M6" s="11">
        <v>386.3</v>
      </c>
      <c r="N6" s="8">
        <v>11</v>
      </c>
      <c r="O6" s="11">
        <v>326.89999999999998</v>
      </c>
      <c r="P6" s="8">
        <v>12</v>
      </c>
      <c r="Q6" s="11">
        <v>280.2</v>
      </c>
      <c r="R6" s="8">
        <v>13</v>
      </c>
      <c r="S6" s="11">
        <v>242.9</v>
      </c>
      <c r="T6" s="8">
        <v>14</v>
      </c>
      <c r="U6" s="11">
        <v>212.6</v>
      </c>
      <c r="V6" s="8">
        <v>15</v>
      </c>
      <c r="W6" s="11">
        <v>187.6</v>
      </c>
      <c r="X6" s="8">
        <v>16</v>
      </c>
      <c r="Y6" s="11">
        <v>166.8</v>
      </c>
      <c r="Z6" s="8">
        <v>17</v>
      </c>
      <c r="AA6" s="11">
        <v>149.30000000000001</v>
      </c>
      <c r="AB6" s="8">
        <v>18</v>
      </c>
      <c r="AC6" s="11">
        <v>134.4</v>
      </c>
      <c r="AD6" s="8">
        <v>19</v>
      </c>
      <c r="AE6" s="11">
        <v>121.6</v>
      </c>
      <c r="AF6" s="8">
        <v>20</v>
      </c>
      <c r="AG6" s="11">
        <v>110.6</v>
      </c>
      <c r="AH6" s="8">
        <v>21</v>
      </c>
      <c r="AI6" s="11">
        <v>101</v>
      </c>
      <c r="AJ6" s="8">
        <v>22</v>
      </c>
      <c r="AK6" s="11">
        <v>92.6</v>
      </c>
      <c r="AL6" s="8">
        <v>23</v>
      </c>
      <c r="AM6" s="11">
        <v>85.2</v>
      </c>
      <c r="AN6" s="8">
        <v>24</v>
      </c>
      <c r="AO6" s="11">
        <v>78.7</v>
      </c>
      <c r="AP6" s="8">
        <v>25</v>
      </c>
      <c r="AQ6" s="11">
        <v>72.900000000000006</v>
      </c>
      <c r="AR6" s="8">
        <v>26</v>
      </c>
      <c r="AS6" s="8">
        <v>67.7</v>
      </c>
      <c r="AT6" s="8">
        <v>27</v>
      </c>
      <c r="AU6" s="11">
        <v>63</v>
      </c>
      <c r="AV6" s="8">
        <v>28</v>
      </c>
      <c r="AW6" s="11">
        <v>58.8</v>
      </c>
      <c r="AX6" s="8">
        <v>29</v>
      </c>
      <c r="AY6" s="11">
        <v>55</v>
      </c>
      <c r="AZ6" s="8">
        <v>30</v>
      </c>
      <c r="BA6" s="8">
        <v>51.6</v>
      </c>
    </row>
    <row r="7" spans="2:59" x14ac:dyDescent="0.2">
      <c r="B7" s="8">
        <v>6</v>
      </c>
      <c r="C7" s="11">
        <v>1364.6</v>
      </c>
      <c r="D7" s="8">
        <v>7</v>
      </c>
      <c r="E7" s="11">
        <v>1034.5999999999999</v>
      </c>
      <c r="F7" s="8">
        <v>8</v>
      </c>
      <c r="G7" s="11">
        <v>811.1</v>
      </c>
      <c r="H7" s="8">
        <v>9</v>
      </c>
      <c r="I7" s="11">
        <v>653.20000000000005</v>
      </c>
      <c r="J7" s="8">
        <v>10</v>
      </c>
      <c r="K7" s="8">
        <v>537.5</v>
      </c>
      <c r="L7" s="8">
        <v>11</v>
      </c>
      <c r="M7" s="11">
        <v>450.2</v>
      </c>
      <c r="N7" s="8">
        <v>12</v>
      </c>
      <c r="O7" s="11">
        <v>382.7</v>
      </c>
      <c r="P7" s="8">
        <v>13</v>
      </c>
      <c r="Q7" s="11">
        <v>329.4</v>
      </c>
      <c r="R7" s="8">
        <v>14</v>
      </c>
      <c r="S7" s="11">
        <v>286.5</v>
      </c>
      <c r="T7" s="8">
        <v>15</v>
      </c>
      <c r="U7" s="11">
        <v>251.5</v>
      </c>
      <c r="V7" s="8">
        <v>16</v>
      </c>
      <c r="W7" s="11">
        <v>222.6</v>
      </c>
      <c r="X7" s="8">
        <v>17</v>
      </c>
      <c r="Y7" s="11">
        <v>198.4</v>
      </c>
      <c r="Z7" s="8">
        <v>18</v>
      </c>
      <c r="AA7" s="11">
        <v>178</v>
      </c>
      <c r="AB7" s="8">
        <v>19</v>
      </c>
      <c r="AC7" s="11">
        <v>160.6</v>
      </c>
      <c r="AD7" s="8">
        <v>20</v>
      </c>
      <c r="AE7" s="11">
        <v>145.6</v>
      </c>
      <c r="AF7" s="8">
        <v>21</v>
      </c>
      <c r="AG7" s="11">
        <v>132.6</v>
      </c>
      <c r="AH7" s="8">
        <v>22</v>
      </c>
      <c r="AI7" s="11">
        <v>121.3</v>
      </c>
      <c r="AJ7" s="8">
        <v>23</v>
      </c>
      <c r="AK7" s="11">
        <v>111.4</v>
      </c>
      <c r="AL7" s="8">
        <v>24</v>
      </c>
      <c r="AM7" s="11">
        <v>102.7</v>
      </c>
      <c r="AN7" s="8">
        <v>25</v>
      </c>
      <c r="AO7" s="11">
        <v>94.9</v>
      </c>
      <c r="AP7" s="8">
        <v>26</v>
      </c>
      <c r="AQ7" s="11">
        <v>88</v>
      </c>
      <c r="AR7" s="8">
        <v>27</v>
      </c>
      <c r="AS7" s="8">
        <v>81.8</v>
      </c>
      <c r="AT7" s="8">
        <v>28</v>
      </c>
      <c r="AU7" s="11">
        <v>76.3</v>
      </c>
      <c r="AV7" s="8">
        <v>29</v>
      </c>
      <c r="AW7" s="11">
        <v>71.3</v>
      </c>
      <c r="AX7" s="8">
        <v>30</v>
      </c>
      <c r="AY7" s="11">
        <v>66.8</v>
      </c>
    </row>
    <row r="8" spans="2:59" x14ac:dyDescent="0.2">
      <c r="B8" s="8">
        <v>7</v>
      </c>
      <c r="C8" s="11">
        <v>1488</v>
      </c>
      <c r="D8" s="8">
        <v>8</v>
      </c>
      <c r="E8" s="11">
        <v>1137.0999999999999</v>
      </c>
      <c r="F8" s="8">
        <v>9</v>
      </c>
      <c r="G8" s="11">
        <v>897.6</v>
      </c>
      <c r="H8" s="8">
        <v>10</v>
      </c>
      <c r="I8" s="11">
        <v>727.2</v>
      </c>
      <c r="J8" s="8">
        <v>11</v>
      </c>
      <c r="K8" s="8">
        <v>601.5</v>
      </c>
      <c r="L8" s="8">
        <v>12</v>
      </c>
      <c r="M8" s="11">
        <v>506.1</v>
      </c>
      <c r="N8" s="8">
        <v>13</v>
      </c>
      <c r="O8" s="11">
        <v>431.9</v>
      </c>
      <c r="P8" s="8">
        <v>14</v>
      </c>
      <c r="Q8" s="11">
        <v>373</v>
      </c>
      <c r="R8" s="8">
        <v>15</v>
      </c>
      <c r="S8" s="11">
        <v>325.5</v>
      </c>
      <c r="T8" s="8">
        <v>16</v>
      </c>
      <c r="U8" s="11">
        <v>286.60000000000002</v>
      </c>
      <c r="V8" s="8">
        <v>17</v>
      </c>
      <c r="W8" s="11">
        <v>254.3</v>
      </c>
      <c r="X8" s="8">
        <v>18</v>
      </c>
      <c r="Y8" s="11">
        <v>227.2</v>
      </c>
      <c r="Z8" s="8">
        <v>19</v>
      </c>
      <c r="AA8" s="11">
        <v>204.2</v>
      </c>
      <c r="AB8" s="8">
        <v>20</v>
      </c>
      <c r="AC8" s="11">
        <v>184.6</v>
      </c>
      <c r="AD8" s="8">
        <v>21</v>
      </c>
      <c r="AE8" s="11">
        <v>167.7</v>
      </c>
      <c r="AF8" s="8">
        <v>22</v>
      </c>
      <c r="AG8" s="11">
        <v>153</v>
      </c>
      <c r="AH8" s="8">
        <v>23</v>
      </c>
      <c r="AI8" s="11">
        <v>140.19999999999999</v>
      </c>
      <c r="AJ8" s="8">
        <v>24</v>
      </c>
      <c r="AK8" s="11">
        <v>128.9</v>
      </c>
      <c r="AL8" s="8">
        <v>25</v>
      </c>
      <c r="AM8" s="11">
        <v>118.9</v>
      </c>
      <c r="AN8" s="8">
        <v>26</v>
      </c>
      <c r="AO8" s="11">
        <v>110.1</v>
      </c>
      <c r="AP8" s="8">
        <v>27</v>
      </c>
      <c r="AQ8" s="11">
        <v>102.2</v>
      </c>
      <c r="AR8" s="8">
        <v>28</v>
      </c>
      <c r="AS8" s="8">
        <v>95.1</v>
      </c>
      <c r="AT8" s="8">
        <v>29</v>
      </c>
      <c r="AU8" s="11">
        <v>88.8</v>
      </c>
      <c r="AV8" s="8">
        <v>30</v>
      </c>
      <c r="AW8" s="11">
        <v>83</v>
      </c>
    </row>
    <row r="9" spans="2:59" x14ac:dyDescent="0.2">
      <c r="B9" s="8">
        <v>8</v>
      </c>
      <c r="C9" s="11">
        <v>1590.5</v>
      </c>
      <c r="D9" s="8">
        <v>9</v>
      </c>
      <c r="E9" s="11">
        <v>1223.5999999999999</v>
      </c>
      <c r="F9" s="8">
        <v>10</v>
      </c>
      <c r="G9" s="11">
        <v>971.6</v>
      </c>
      <c r="H9" s="8">
        <v>11</v>
      </c>
      <c r="I9" s="11">
        <v>791.1</v>
      </c>
      <c r="J9" s="8">
        <v>12</v>
      </c>
      <c r="K9" s="8">
        <v>657.3</v>
      </c>
      <c r="L9" s="8">
        <v>13</v>
      </c>
      <c r="M9" s="11">
        <v>555.20000000000005</v>
      </c>
      <c r="N9" s="8">
        <v>14</v>
      </c>
      <c r="O9" s="11">
        <v>475.5</v>
      </c>
      <c r="P9" s="8">
        <v>15</v>
      </c>
      <c r="Q9" s="11">
        <v>412</v>
      </c>
      <c r="R9" s="8">
        <v>16</v>
      </c>
      <c r="S9" s="11">
        <v>360.5</v>
      </c>
      <c r="T9" s="8">
        <v>17</v>
      </c>
      <c r="U9" s="11">
        <v>318.2</v>
      </c>
      <c r="V9" s="8">
        <v>18</v>
      </c>
      <c r="W9" s="11">
        <v>283</v>
      </c>
      <c r="X9" s="8">
        <v>19</v>
      </c>
      <c r="Y9" s="11">
        <v>253.4</v>
      </c>
      <c r="Z9" s="8">
        <v>20</v>
      </c>
      <c r="AA9" s="11">
        <v>228.2</v>
      </c>
      <c r="AB9" s="8">
        <v>21</v>
      </c>
      <c r="AC9" s="11">
        <v>206.6</v>
      </c>
      <c r="AD9" s="8">
        <v>22</v>
      </c>
      <c r="AE9" s="11">
        <v>188</v>
      </c>
      <c r="AF9" s="8">
        <v>23</v>
      </c>
      <c r="AG9" s="11">
        <v>171.8</v>
      </c>
      <c r="AH9" s="8">
        <v>24</v>
      </c>
      <c r="AI9" s="11">
        <v>157.6</v>
      </c>
      <c r="AJ9" s="8">
        <v>25</v>
      </c>
      <c r="AK9" s="11">
        <v>145.1</v>
      </c>
      <c r="AL9" s="8">
        <v>26</v>
      </c>
      <c r="AM9" s="11">
        <v>134.1</v>
      </c>
      <c r="AN9" s="8">
        <v>27</v>
      </c>
      <c r="AO9" s="11">
        <v>124.2</v>
      </c>
      <c r="AP9" s="8">
        <v>28</v>
      </c>
      <c r="AQ9" s="11">
        <v>115.5</v>
      </c>
      <c r="AR9" s="8">
        <v>29</v>
      </c>
      <c r="AS9" s="8">
        <v>107.6</v>
      </c>
      <c r="AT9" s="8">
        <v>30</v>
      </c>
      <c r="AU9" s="11">
        <v>100.5</v>
      </c>
    </row>
    <row r="10" spans="2:59" x14ac:dyDescent="0.2">
      <c r="B10" s="8">
        <v>9</v>
      </c>
      <c r="C10" s="11">
        <v>1677</v>
      </c>
      <c r="D10" s="8">
        <v>10</v>
      </c>
      <c r="E10" s="11">
        <v>1297.5</v>
      </c>
      <c r="F10" s="8">
        <v>11</v>
      </c>
      <c r="G10" s="11">
        <v>1035.5</v>
      </c>
      <c r="H10" s="8">
        <v>12</v>
      </c>
      <c r="I10" s="11">
        <v>847</v>
      </c>
      <c r="J10" s="8">
        <v>13</v>
      </c>
      <c r="K10" s="8">
        <v>706.5</v>
      </c>
      <c r="L10" s="8">
        <v>14</v>
      </c>
      <c r="M10" s="11">
        <v>598.9</v>
      </c>
      <c r="N10" s="8">
        <v>15</v>
      </c>
      <c r="O10" s="11">
        <v>514.5</v>
      </c>
      <c r="P10" s="8">
        <v>16</v>
      </c>
      <c r="Q10" s="11">
        <v>447</v>
      </c>
      <c r="R10" s="8">
        <v>17</v>
      </c>
      <c r="S10" s="11">
        <v>392.2</v>
      </c>
      <c r="T10" s="8">
        <v>18</v>
      </c>
      <c r="U10" s="11">
        <v>347</v>
      </c>
      <c r="V10" s="8">
        <v>19</v>
      </c>
      <c r="W10" s="11">
        <v>309.2</v>
      </c>
      <c r="X10" s="8">
        <v>20</v>
      </c>
      <c r="Y10" s="11">
        <v>277.39999999999998</v>
      </c>
      <c r="Z10" s="8">
        <v>21</v>
      </c>
      <c r="AA10" s="11">
        <v>250.3</v>
      </c>
      <c r="AB10" s="8">
        <v>22</v>
      </c>
      <c r="AC10" s="11">
        <v>227</v>
      </c>
      <c r="AD10" s="8">
        <v>23</v>
      </c>
      <c r="AE10" s="11">
        <v>206.8</v>
      </c>
      <c r="AF10" s="8">
        <v>24</v>
      </c>
      <c r="AG10" s="11">
        <v>189.3</v>
      </c>
      <c r="AH10" s="8">
        <v>25</v>
      </c>
      <c r="AI10" s="11">
        <v>173.9</v>
      </c>
      <c r="AJ10" s="8">
        <v>26</v>
      </c>
      <c r="AK10" s="11">
        <v>160.30000000000001</v>
      </c>
      <c r="AL10" s="8">
        <v>27</v>
      </c>
      <c r="AM10" s="11">
        <v>148.19999999999999</v>
      </c>
      <c r="AN10" s="8">
        <v>28</v>
      </c>
      <c r="AO10" s="11">
        <v>137.5</v>
      </c>
      <c r="AP10" s="8">
        <v>29</v>
      </c>
      <c r="AQ10" s="11">
        <v>127.9</v>
      </c>
      <c r="AR10" s="8">
        <v>30</v>
      </c>
      <c r="AS10" s="8">
        <v>119.3</v>
      </c>
    </row>
    <row r="11" spans="2:59" x14ac:dyDescent="0.2">
      <c r="B11" s="8">
        <v>10</v>
      </c>
      <c r="C11" s="11">
        <v>1750.9</v>
      </c>
      <c r="D11" s="8">
        <v>11</v>
      </c>
      <c r="E11" s="11">
        <v>1361.5</v>
      </c>
      <c r="F11" s="8">
        <v>12</v>
      </c>
      <c r="G11" s="11">
        <v>1091.3</v>
      </c>
      <c r="H11" s="8">
        <v>13</v>
      </c>
      <c r="I11" s="11">
        <v>896.1</v>
      </c>
      <c r="J11" s="8">
        <v>14</v>
      </c>
      <c r="K11" s="8">
        <v>750.1</v>
      </c>
      <c r="L11" s="8">
        <v>15</v>
      </c>
      <c r="M11" s="11">
        <v>637.79999999999995</v>
      </c>
      <c r="N11" s="8">
        <v>16</v>
      </c>
      <c r="O11" s="11">
        <v>549.5</v>
      </c>
      <c r="P11" s="8">
        <v>17</v>
      </c>
      <c r="Q11" s="11">
        <v>478.7</v>
      </c>
      <c r="R11" s="8">
        <v>18</v>
      </c>
      <c r="S11" s="11">
        <v>420.9</v>
      </c>
      <c r="T11" s="8">
        <v>19</v>
      </c>
      <c r="U11" s="11">
        <v>373.2</v>
      </c>
      <c r="V11" s="8">
        <v>20</v>
      </c>
      <c r="W11" s="11">
        <v>333.2</v>
      </c>
      <c r="X11" s="8">
        <v>21</v>
      </c>
      <c r="Y11" s="11">
        <v>299.39999999999998</v>
      </c>
      <c r="Z11" s="8">
        <v>22</v>
      </c>
      <c r="AA11" s="11">
        <v>270.60000000000002</v>
      </c>
      <c r="AB11" s="8">
        <v>23</v>
      </c>
      <c r="AC11" s="11">
        <v>245.8</v>
      </c>
      <c r="AD11" s="8">
        <v>24</v>
      </c>
      <c r="AE11" s="11">
        <v>224.3</v>
      </c>
      <c r="AF11" s="8">
        <v>25</v>
      </c>
      <c r="AG11" s="11">
        <v>205.5</v>
      </c>
      <c r="AH11" s="8">
        <v>26</v>
      </c>
      <c r="AI11" s="11">
        <v>189</v>
      </c>
      <c r="AJ11" s="8">
        <v>27</v>
      </c>
      <c r="AK11" s="11">
        <v>174.4</v>
      </c>
      <c r="AL11" s="8">
        <v>28</v>
      </c>
      <c r="AM11" s="11">
        <v>161.5</v>
      </c>
      <c r="AN11" s="8">
        <v>29</v>
      </c>
      <c r="AO11" s="11">
        <v>150</v>
      </c>
      <c r="AP11" s="8">
        <v>30</v>
      </c>
      <c r="AQ11" s="11">
        <v>139.6</v>
      </c>
    </row>
    <row r="12" spans="2:59" x14ac:dyDescent="0.2">
      <c r="B12" s="8">
        <v>11</v>
      </c>
      <c r="C12" s="11">
        <v>1814.9</v>
      </c>
      <c r="D12" s="8">
        <v>12</v>
      </c>
      <c r="E12" s="11">
        <v>1417.3</v>
      </c>
      <c r="F12" s="8">
        <v>13</v>
      </c>
      <c r="G12" s="11">
        <v>1140.5</v>
      </c>
      <c r="H12" s="8">
        <v>14</v>
      </c>
      <c r="I12" s="11">
        <v>939.7</v>
      </c>
      <c r="J12" s="8">
        <v>15</v>
      </c>
      <c r="K12" s="8">
        <v>789.1</v>
      </c>
      <c r="L12" s="8">
        <v>16</v>
      </c>
      <c r="M12" s="11">
        <v>672.9</v>
      </c>
      <c r="N12" s="8">
        <v>17</v>
      </c>
      <c r="O12" s="11">
        <v>581.20000000000005</v>
      </c>
      <c r="P12" s="8">
        <v>18</v>
      </c>
      <c r="Q12" s="11">
        <v>507.4</v>
      </c>
      <c r="R12" s="8">
        <v>19</v>
      </c>
      <c r="S12" s="11">
        <v>447.1</v>
      </c>
      <c r="T12" s="8">
        <v>20</v>
      </c>
      <c r="U12" s="11">
        <v>397.2</v>
      </c>
      <c r="V12" s="8">
        <v>21</v>
      </c>
      <c r="W12" s="11">
        <v>355.3</v>
      </c>
      <c r="X12" s="8">
        <v>22</v>
      </c>
      <c r="Y12" s="11">
        <v>319.8</v>
      </c>
      <c r="Z12" s="8">
        <v>23</v>
      </c>
      <c r="AA12" s="11">
        <v>289.39999999999998</v>
      </c>
      <c r="AB12" s="8">
        <v>24</v>
      </c>
      <c r="AC12" s="11">
        <v>263.3</v>
      </c>
      <c r="AD12" s="8">
        <v>25</v>
      </c>
      <c r="AE12" s="11">
        <v>240.5</v>
      </c>
      <c r="AF12" s="8">
        <v>26</v>
      </c>
      <c r="AG12" s="11">
        <v>220.7</v>
      </c>
      <c r="AH12" s="8">
        <v>27</v>
      </c>
      <c r="AI12" s="11">
        <v>203.2</v>
      </c>
      <c r="AJ12" s="8">
        <v>28</v>
      </c>
      <c r="AK12" s="11">
        <v>187.7</v>
      </c>
      <c r="AL12" s="8">
        <v>29</v>
      </c>
      <c r="AM12" s="11">
        <v>174</v>
      </c>
      <c r="AN12" s="8">
        <v>30</v>
      </c>
      <c r="AO12" s="11">
        <v>161.69999999999999</v>
      </c>
    </row>
    <row r="13" spans="2:59" x14ac:dyDescent="0.2">
      <c r="B13" s="8">
        <v>12</v>
      </c>
      <c r="C13" s="11">
        <v>1870.7</v>
      </c>
      <c r="D13" s="8">
        <v>13</v>
      </c>
      <c r="E13" s="11">
        <v>1466.5</v>
      </c>
      <c r="F13" s="8">
        <v>14</v>
      </c>
      <c r="G13" s="11">
        <v>1184.0999999999999</v>
      </c>
      <c r="H13" s="8">
        <v>15</v>
      </c>
      <c r="I13" s="11">
        <v>978.7</v>
      </c>
      <c r="J13" s="8">
        <v>16</v>
      </c>
      <c r="K13" s="8">
        <v>824.1</v>
      </c>
      <c r="L13" s="8">
        <v>17</v>
      </c>
      <c r="M13" s="11">
        <v>704.5</v>
      </c>
      <c r="N13" s="8">
        <v>18</v>
      </c>
      <c r="O13" s="11">
        <v>609.9</v>
      </c>
      <c r="P13" s="8">
        <v>19</v>
      </c>
      <c r="Q13" s="11">
        <v>533.6</v>
      </c>
      <c r="R13" s="8">
        <v>20</v>
      </c>
      <c r="S13" s="11">
        <v>471.1</v>
      </c>
      <c r="T13" s="8">
        <v>21</v>
      </c>
      <c r="U13" s="11">
        <v>419.2</v>
      </c>
      <c r="V13" s="8">
        <v>22</v>
      </c>
      <c r="W13" s="11">
        <v>375.6</v>
      </c>
      <c r="X13" s="8">
        <v>23</v>
      </c>
      <c r="Y13" s="11">
        <v>338.6</v>
      </c>
      <c r="Z13" s="8">
        <v>24</v>
      </c>
      <c r="AA13" s="11">
        <v>306.89999999999998</v>
      </c>
      <c r="AB13" s="8">
        <v>25</v>
      </c>
      <c r="AC13" s="11">
        <v>279.5</v>
      </c>
      <c r="AD13" s="8">
        <v>26</v>
      </c>
      <c r="AE13" s="11">
        <v>255.7</v>
      </c>
      <c r="AF13" s="8">
        <v>27</v>
      </c>
      <c r="AG13" s="11">
        <v>234.8</v>
      </c>
      <c r="AH13" s="8">
        <v>28</v>
      </c>
      <c r="AI13" s="11">
        <v>216.5</v>
      </c>
      <c r="AJ13" s="8">
        <v>29</v>
      </c>
      <c r="AK13" s="11">
        <v>200.2</v>
      </c>
      <c r="AL13" s="8">
        <v>30</v>
      </c>
      <c r="AM13" s="11">
        <v>185.7</v>
      </c>
    </row>
    <row r="14" spans="2:59" x14ac:dyDescent="0.2">
      <c r="B14" s="8">
        <v>13</v>
      </c>
      <c r="C14" s="11">
        <v>1919.9</v>
      </c>
      <c r="D14" s="8">
        <v>14</v>
      </c>
      <c r="E14" s="11">
        <v>1510.1</v>
      </c>
      <c r="F14" s="8">
        <v>15</v>
      </c>
      <c r="G14" s="11">
        <v>1223.0999999999999</v>
      </c>
      <c r="H14" s="8">
        <v>16</v>
      </c>
      <c r="I14" s="11">
        <v>1013.8</v>
      </c>
      <c r="J14" s="8">
        <v>17</v>
      </c>
      <c r="K14" s="8">
        <v>855.8</v>
      </c>
      <c r="L14" s="8">
        <v>18</v>
      </c>
      <c r="M14" s="11">
        <v>733.3</v>
      </c>
      <c r="N14" s="8">
        <v>19</v>
      </c>
      <c r="O14" s="11">
        <v>636.1</v>
      </c>
      <c r="P14" s="8">
        <v>20</v>
      </c>
      <c r="Q14" s="11">
        <v>557.6</v>
      </c>
      <c r="R14" s="8">
        <v>21</v>
      </c>
      <c r="S14" s="11">
        <v>493.2</v>
      </c>
      <c r="T14" s="8">
        <v>22</v>
      </c>
      <c r="U14" s="11">
        <v>439.6</v>
      </c>
      <c r="V14" s="8">
        <v>23</v>
      </c>
      <c r="W14" s="11">
        <v>394.4</v>
      </c>
      <c r="X14" s="8">
        <v>24</v>
      </c>
      <c r="Y14" s="11">
        <v>356.1</v>
      </c>
      <c r="Z14" s="8">
        <v>25</v>
      </c>
      <c r="AA14" s="11">
        <v>323.10000000000002</v>
      </c>
      <c r="AB14" s="8">
        <v>26</v>
      </c>
      <c r="AC14" s="11">
        <v>294.7</v>
      </c>
      <c r="AD14" s="8">
        <v>27</v>
      </c>
      <c r="AE14" s="11">
        <v>269.89999999999998</v>
      </c>
      <c r="AF14" s="8">
        <v>28</v>
      </c>
      <c r="AG14" s="11">
        <v>248.1</v>
      </c>
      <c r="AH14" s="8">
        <v>29</v>
      </c>
      <c r="AI14" s="11">
        <v>228.9</v>
      </c>
      <c r="AJ14" s="8">
        <v>30</v>
      </c>
      <c r="AK14" s="11">
        <v>211.9</v>
      </c>
    </row>
    <row r="15" spans="2:59" x14ac:dyDescent="0.2">
      <c r="B15" s="8">
        <v>14</v>
      </c>
      <c r="C15" s="11">
        <v>1963.5</v>
      </c>
      <c r="D15" s="8">
        <v>15</v>
      </c>
      <c r="E15" s="11">
        <v>1549.1</v>
      </c>
      <c r="F15" s="8">
        <v>16</v>
      </c>
      <c r="G15" s="11">
        <v>1258.0999999999999</v>
      </c>
      <c r="H15" s="8">
        <v>17</v>
      </c>
      <c r="I15" s="11">
        <v>1045.4000000000001</v>
      </c>
      <c r="J15" s="8">
        <v>18</v>
      </c>
      <c r="K15" s="8">
        <v>884.5</v>
      </c>
      <c r="L15" s="8">
        <v>19</v>
      </c>
      <c r="M15" s="11">
        <v>759.5</v>
      </c>
      <c r="N15" s="8">
        <v>20</v>
      </c>
      <c r="O15" s="11">
        <v>660.1</v>
      </c>
      <c r="P15" s="8">
        <v>21</v>
      </c>
      <c r="Q15" s="11">
        <v>579.70000000000005</v>
      </c>
      <c r="R15" s="8">
        <v>22</v>
      </c>
      <c r="S15" s="11">
        <v>513.5</v>
      </c>
      <c r="T15" s="8">
        <v>23</v>
      </c>
      <c r="U15" s="11">
        <v>458.4</v>
      </c>
      <c r="V15" s="8">
        <v>24</v>
      </c>
      <c r="W15" s="11">
        <v>411.9</v>
      </c>
      <c r="X15" s="8">
        <v>25</v>
      </c>
      <c r="Y15" s="11">
        <v>372.3</v>
      </c>
      <c r="Z15" s="8">
        <v>26</v>
      </c>
      <c r="AA15" s="11">
        <v>338.3</v>
      </c>
      <c r="AB15" s="8">
        <v>27</v>
      </c>
      <c r="AC15" s="11">
        <v>308.8</v>
      </c>
      <c r="AD15" s="8">
        <v>28</v>
      </c>
      <c r="AE15" s="11">
        <v>283.10000000000002</v>
      </c>
      <c r="AF15" s="8">
        <v>29</v>
      </c>
      <c r="AG15" s="11">
        <v>260.60000000000002</v>
      </c>
      <c r="AH15" s="8">
        <v>30</v>
      </c>
      <c r="AI15" s="11">
        <v>240.6</v>
      </c>
    </row>
    <row r="16" spans="2:59" x14ac:dyDescent="0.2">
      <c r="B16" s="8">
        <v>15</v>
      </c>
      <c r="C16" s="11">
        <v>2002.5</v>
      </c>
      <c r="D16" s="8">
        <v>16</v>
      </c>
      <c r="E16" s="11">
        <v>1584.1</v>
      </c>
      <c r="F16" s="8">
        <v>17</v>
      </c>
      <c r="G16" s="11">
        <v>1289.8</v>
      </c>
      <c r="H16" s="8">
        <v>18</v>
      </c>
      <c r="I16" s="11">
        <v>1074.0999999999999</v>
      </c>
      <c r="J16" s="8">
        <v>19</v>
      </c>
      <c r="K16" s="8">
        <v>910.7</v>
      </c>
      <c r="L16" s="8">
        <v>20</v>
      </c>
      <c r="M16" s="11">
        <v>783.5</v>
      </c>
      <c r="N16" s="8">
        <v>21</v>
      </c>
      <c r="O16" s="11">
        <v>682.2</v>
      </c>
      <c r="P16" s="8">
        <v>22</v>
      </c>
      <c r="Q16" s="11">
        <v>600</v>
      </c>
      <c r="R16" s="8">
        <v>23</v>
      </c>
      <c r="S16" s="11">
        <v>532.29999999999995</v>
      </c>
      <c r="T16" s="8">
        <v>24</v>
      </c>
      <c r="U16" s="11">
        <v>475.8</v>
      </c>
      <c r="V16" s="8">
        <v>25</v>
      </c>
      <c r="W16" s="11">
        <v>428.1</v>
      </c>
      <c r="X16" s="8">
        <v>26</v>
      </c>
      <c r="Y16" s="11">
        <v>387.5</v>
      </c>
      <c r="Z16" s="8">
        <v>27</v>
      </c>
      <c r="AA16" s="11">
        <v>352.5</v>
      </c>
      <c r="AB16" s="8">
        <v>28</v>
      </c>
      <c r="AC16" s="11">
        <v>322.10000000000002</v>
      </c>
      <c r="AD16" s="8">
        <v>29</v>
      </c>
      <c r="AE16" s="11">
        <v>295.60000000000002</v>
      </c>
      <c r="AF16" s="8">
        <v>30</v>
      </c>
      <c r="AG16" s="11">
        <v>272.3</v>
      </c>
    </row>
    <row r="17" spans="2:31" x14ac:dyDescent="0.2">
      <c r="B17" s="8">
        <v>16</v>
      </c>
      <c r="C17" s="11">
        <v>2037.5</v>
      </c>
      <c r="D17" s="8">
        <v>17</v>
      </c>
      <c r="E17" s="11">
        <v>1615.7</v>
      </c>
      <c r="F17" s="8">
        <v>18</v>
      </c>
      <c r="G17" s="11">
        <v>1318.5</v>
      </c>
      <c r="H17" s="8">
        <v>19</v>
      </c>
      <c r="I17" s="11">
        <v>1100.3</v>
      </c>
      <c r="J17" s="8">
        <v>20</v>
      </c>
      <c r="K17" s="8">
        <v>934.7</v>
      </c>
      <c r="L17" s="8">
        <v>21</v>
      </c>
      <c r="M17" s="11">
        <v>805.5</v>
      </c>
      <c r="N17" s="8">
        <v>22</v>
      </c>
      <c r="O17" s="11">
        <v>702.5</v>
      </c>
      <c r="P17" s="8">
        <v>23</v>
      </c>
      <c r="Q17" s="11">
        <v>618.79999999999995</v>
      </c>
      <c r="R17" s="8">
        <v>24</v>
      </c>
      <c r="S17" s="11">
        <v>549.79999999999995</v>
      </c>
      <c r="T17" s="8">
        <v>25</v>
      </c>
      <c r="U17" s="11">
        <v>492.1</v>
      </c>
      <c r="V17" s="8">
        <v>26</v>
      </c>
      <c r="W17" s="11">
        <v>443.3</v>
      </c>
      <c r="X17" s="8">
        <v>27</v>
      </c>
      <c r="Y17" s="11">
        <v>401.6</v>
      </c>
      <c r="Z17" s="8">
        <v>28</v>
      </c>
      <c r="AA17" s="11">
        <v>365.7</v>
      </c>
      <c r="AB17" s="8">
        <v>29</v>
      </c>
      <c r="AC17" s="11">
        <v>334.6</v>
      </c>
      <c r="AD17" s="8">
        <v>30</v>
      </c>
      <c r="AE17" s="11">
        <v>307.3</v>
      </c>
    </row>
    <row r="18" spans="2:31" x14ac:dyDescent="0.2">
      <c r="B18" s="8">
        <v>17</v>
      </c>
      <c r="C18" s="11">
        <v>2069.1999999999998</v>
      </c>
      <c r="D18" s="8">
        <v>18</v>
      </c>
      <c r="E18" s="11">
        <v>1644.5</v>
      </c>
      <c r="F18" s="8">
        <v>19</v>
      </c>
      <c r="G18" s="11">
        <v>1344.7</v>
      </c>
      <c r="H18" s="8">
        <v>20</v>
      </c>
      <c r="I18" s="11">
        <v>1124.3</v>
      </c>
      <c r="J18" s="8">
        <v>21</v>
      </c>
      <c r="K18" s="8">
        <v>956.8</v>
      </c>
      <c r="L18" s="8">
        <v>22</v>
      </c>
      <c r="M18" s="11">
        <v>825.9</v>
      </c>
      <c r="N18" s="8">
        <v>23</v>
      </c>
      <c r="O18" s="11">
        <v>721.3</v>
      </c>
      <c r="P18" s="8">
        <v>24</v>
      </c>
      <c r="Q18" s="11">
        <v>636.29999999999995</v>
      </c>
      <c r="R18" s="8">
        <v>25</v>
      </c>
      <c r="S18" s="11">
        <v>566</v>
      </c>
      <c r="T18" s="8">
        <v>26</v>
      </c>
      <c r="U18" s="11">
        <v>507.2</v>
      </c>
      <c r="V18" s="8">
        <v>27</v>
      </c>
      <c r="W18" s="11">
        <v>457.5</v>
      </c>
      <c r="X18" s="8">
        <v>28</v>
      </c>
      <c r="Y18" s="11">
        <v>414.9</v>
      </c>
      <c r="Z18" s="8">
        <v>29</v>
      </c>
      <c r="AA18" s="11">
        <v>378.2</v>
      </c>
      <c r="AB18" s="8">
        <v>30</v>
      </c>
      <c r="AC18" s="11">
        <v>346.3</v>
      </c>
    </row>
    <row r="19" spans="2:31" x14ac:dyDescent="0.2">
      <c r="B19" s="8">
        <v>18</v>
      </c>
      <c r="C19" s="11">
        <v>2097.9</v>
      </c>
      <c r="D19" s="8">
        <v>19</v>
      </c>
      <c r="E19" s="11">
        <v>1670.7</v>
      </c>
      <c r="F19" s="8">
        <v>20</v>
      </c>
      <c r="G19" s="11">
        <v>1368.7</v>
      </c>
      <c r="H19" s="8">
        <v>21</v>
      </c>
      <c r="I19" s="11">
        <v>1146.4000000000001</v>
      </c>
      <c r="J19" s="8">
        <v>22</v>
      </c>
      <c r="K19" s="8">
        <v>977.1</v>
      </c>
      <c r="L19" s="8">
        <v>23</v>
      </c>
      <c r="M19" s="11">
        <v>844.7</v>
      </c>
      <c r="N19" s="8">
        <v>24</v>
      </c>
      <c r="O19" s="11">
        <v>738.8</v>
      </c>
      <c r="P19" s="8">
        <v>25</v>
      </c>
      <c r="Q19" s="11">
        <v>652.5</v>
      </c>
      <c r="R19" s="8">
        <v>26</v>
      </c>
      <c r="S19" s="11">
        <v>581.20000000000005</v>
      </c>
      <c r="T19" s="8">
        <v>27</v>
      </c>
      <c r="U19" s="11">
        <v>521.4</v>
      </c>
      <c r="V19" s="8">
        <v>28</v>
      </c>
      <c r="W19" s="11">
        <v>470.7</v>
      </c>
      <c r="X19" s="8">
        <v>29</v>
      </c>
      <c r="Y19" s="11">
        <v>427.4</v>
      </c>
      <c r="Z19" s="8">
        <v>30</v>
      </c>
      <c r="AA19" s="11">
        <v>389.9</v>
      </c>
    </row>
    <row r="20" spans="2:31" x14ac:dyDescent="0.2">
      <c r="B20" s="8">
        <v>19</v>
      </c>
      <c r="C20" s="11">
        <v>2124.1</v>
      </c>
      <c r="D20" s="8">
        <v>20</v>
      </c>
      <c r="E20" s="11">
        <v>1694.7</v>
      </c>
      <c r="F20" s="8">
        <v>21</v>
      </c>
      <c r="G20" s="11">
        <v>1390.8</v>
      </c>
      <c r="H20" s="8">
        <v>22</v>
      </c>
      <c r="I20" s="11">
        <v>1166.7</v>
      </c>
      <c r="J20" s="8">
        <v>23</v>
      </c>
      <c r="K20" s="8">
        <v>995.9</v>
      </c>
      <c r="L20" s="8">
        <v>24</v>
      </c>
      <c r="M20" s="11">
        <v>862.1</v>
      </c>
      <c r="N20" s="8">
        <v>25</v>
      </c>
      <c r="O20" s="11">
        <v>755</v>
      </c>
      <c r="P20" s="8">
        <v>26</v>
      </c>
      <c r="Q20" s="11">
        <v>667.7</v>
      </c>
      <c r="R20" s="8">
        <v>27</v>
      </c>
      <c r="S20" s="11">
        <v>595.29999999999995</v>
      </c>
      <c r="T20" s="8">
        <v>28</v>
      </c>
      <c r="U20" s="11">
        <v>534.70000000000005</v>
      </c>
      <c r="V20" s="8">
        <v>29</v>
      </c>
      <c r="W20" s="11">
        <v>483.2</v>
      </c>
      <c r="X20" s="8">
        <v>30</v>
      </c>
      <c r="Y20" s="11">
        <v>439.1</v>
      </c>
    </row>
    <row r="21" spans="2:31" x14ac:dyDescent="0.2">
      <c r="B21" s="8">
        <v>20</v>
      </c>
      <c r="C21" s="11">
        <v>2148.1</v>
      </c>
      <c r="D21" s="8">
        <v>21</v>
      </c>
      <c r="E21" s="11">
        <v>1716.7</v>
      </c>
      <c r="F21" s="8">
        <v>22</v>
      </c>
      <c r="G21" s="11">
        <v>1411.1</v>
      </c>
      <c r="H21" s="8">
        <v>23</v>
      </c>
      <c r="I21" s="11">
        <v>1185.5999999999999</v>
      </c>
      <c r="J21" s="8">
        <v>24</v>
      </c>
      <c r="K21" s="8">
        <v>1013.4</v>
      </c>
      <c r="L21" s="8">
        <v>25</v>
      </c>
      <c r="M21" s="11">
        <v>878.4</v>
      </c>
      <c r="N21" s="8">
        <v>26</v>
      </c>
      <c r="O21" s="11">
        <v>770.2</v>
      </c>
      <c r="P21" s="8">
        <v>27</v>
      </c>
      <c r="Q21" s="11">
        <v>681.8</v>
      </c>
      <c r="R21" s="8">
        <v>28</v>
      </c>
      <c r="S21" s="11">
        <v>608.6</v>
      </c>
      <c r="T21" s="8">
        <v>29</v>
      </c>
      <c r="U21" s="11">
        <v>547.1</v>
      </c>
      <c r="V21" s="8">
        <v>30</v>
      </c>
      <c r="W21" s="11">
        <v>494.9</v>
      </c>
    </row>
    <row r="22" spans="2:31" x14ac:dyDescent="0.2">
      <c r="B22" s="8">
        <v>21</v>
      </c>
      <c r="C22" s="11">
        <v>2170.1999999999998</v>
      </c>
      <c r="D22" s="8">
        <v>22</v>
      </c>
      <c r="E22" s="11">
        <v>1737.1</v>
      </c>
      <c r="F22" s="8">
        <v>23</v>
      </c>
      <c r="G22" s="11">
        <v>1430</v>
      </c>
      <c r="H22" s="8">
        <v>24</v>
      </c>
      <c r="I22" s="11">
        <v>1203</v>
      </c>
      <c r="J22" s="8">
        <v>25</v>
      </c>
      <c r="K22" s="8">
        <v>1029.5999999999999</v>
      </c>
      <c r="L22" s="8">
        <v>26</v>
      </c>
      <c r="M22" s="11">
        <v>893.5</v>
      </c>
      <c r="N22" s="8">
        <v>27</v>
      </c>
      <c r="O22" s="11">
        <v>784.3</v>
      </c>
      <c r="P22" s="8">
        <v>28</v>
      </c>
      <c r="Q22" s="11">
        <v>695.1</v>
      </c>
      <c r="R22" s="8">
        <v>29</v>
      </c>
      <c r="S22" s="11">
        <v>621.1</v>
      </c>
      <c r="T22" s="8">
        <v>30</v>
      </c>
      <c r="U22" s="11">
        <v>558.79999999999995</v>
      </c>
    </row>
    <row r="23" spans="2:31" x14ac:dyDescent="0.2">
      <c r="B23" s="8">
        <v>22</v>
      </c>
      <c r="C23" s="11">
        <v>2190.5</v>
      </c>
      <c r="D23" s="8">
        <v>23</v>
      </c>
      <c r="E23" s="11">
        <v>1755.9</v>
      </c>
      <c r="F23" s="8">
        <v>24</v>
      </c>
      <c r="G23" s="11">
        <v>1447.4</v>
      </c>
      <c r="H23" s="8">
        <v>25</v>
      </c>
      <c r="I23" s="11">
        <v>1219.3</v>
      </c>
      <c r="J23" s="8">
        <v>26</v>
      </c>
      <c r="K23" s="8">
        <v>1044.8</v>
      </c>
      <c r="L23" s="8">
        <v>27</v>
      </c>
      <c r="M23" s="11">
        <v>907.7</v>
      </c>
      <c r="N23" s="8">
        <v>28</v>
      </c>
      <c r="O23" s="11">
        <v>797.6</v>
      </c>
      <c r="P23" s="8">
        <v>29</v>
      </c>
      <c r="Q23" s="11">
        <v>707.6</v>
      </c>
      <c r="R23" s="8">
        <v>30</v>
      </c>
      <c r="S23" s="11">
        <v>632.79999999999995</v>
      </c>
    </row>
    <row r="24" spans="2:31" x14ac:dyDescent="0.2">
      <c r="B24" s="8">
        <v>23</v>
      </c>
      <c r="C24" s="11">
        <v>2209.3000000000002</v>
      </c>
      <c r="D24" s="8">
        <v>24</v>
      </c>
      <c r="E24" s="11">
        <v>1773.4</v>
      </c>
      <c r="F24" s="8">
        <v>25</v>
      </c>
      <c r="G24" s="11">
        <v>1463.7</v>
      </c>
      <c r="H24" s="8">
        <v>26</v>
      </c>
      <c r="I24" s="11">
        <v>1234.4000000000001</v>
      </c>
      <c r="J24" s="8">
        <v>27</v>
      </c>
      <c r="K24" s="8">
        <v>1058.9000000000001</v>
      </c>
      <c r="L24" s="8">
        <v>28</v>
      </c>
      <c r="M24" s="11">
        <v>921</v>
      </c>
      <c r="N24" s="8">
        <v>29</v>
      </c>
      <c r="O24" s="11">
        <v>810.1</v>
      </c>
      <c r="P24" s="8">
        <v>30</v>
      </c>
      <c r="Q24" s="11">
        <v>719.3</v>
      </c>
    </row>
    <row r="25" spans="2:31" x14ac:dyDescent="0.2">
      <c r="B25" s="8">
        <v>24</v>
      </c>
      <c r="C25" s="11">
        <v>2226.8000000000002</v>
      </c>
      <c r="D25" s="8">
        <v>25</v>
      </c>
      <c r="E25" s="11">
        <v>1789.6</v>
      </c>
      <c r="F25" s="8">
        <v>26</v>
      </c>
      <c r="G25" s="11">
        <v>1478.8</v>
      </c>
      <c r="H25" s="8">
        <v>27</v>
      </c>
      <c r="I25" s="11">
        <v>1248.5999999999999</v>
      </c>
      <c r="J25" s="8">
        <v>28</v>
      </c>
      <c r="K25" s="8">
        <v>1072.2</v>
      </c>
      <c r="L25" s="8">
        <v>29</v>
      </c>
      <c r="M25" s="11">
        <v>933.4</v>
      </c>
      <c r="N25" s="8">
        <v>30</v>
      </c>
      <c r="O25" s="11">
        <v>821.8</v>
      </c>
    </row>
    <row r="26" spans="2:31" x14ac:dyDescent="0.2">
      <c r="B26" s="8">
        <v>25</v>
      </c>
      <c r="C26" s="11">
        <v>2243</v>
      </c>
      <c r="D26" s="8">
        <v>26</v>
      </c>
      <c r="E26" s="11">
        <v>1804.8</v>
      </c>
      <c r="F26" s="8">
        <v>27</v>
      </c>
      <c r="G26" s="11">
        <v>1493</v>
      </c>
      <c r="H26" s="8">
        <v>28</v>
      </c>
      <c r="I26" s="11">
        <v>1261.9000000000001</v>
      </c>
      <c r="J26" s="8">
        <v>29</v>
      </c>
      <c r="K26" s="8">
        <v>1084.7</v>
      </c>
      <c r="L26" s="8">
        <v>30</v>
      </c>
      <c r="M26" s="11">
        <v>945.1</v>
      </c>
    </row>
    <row r="27" spans="2:31" x14ac:dyDescent="0.2">
      <c r="B27" s="8">
        <v>26</v>
      </c>
      <c r="C27" s="11">
        <v>2258.1999999999998</v>
      </c>
      <c r="D27" s="8">
        <v>27</v>
      </c>
      <c r="E27" s="11">
        <v>1818.9</v>
      </c>
      <c r="F27" s="8">
        <v>28</v>
      </c>
      <c r="G27" s="11">
        <v>1506.2</v>
      </c>
      <c r="H27" s="8">
        <v>29</v>
      </c>
      <c r="I27" s="11">
        <v>1274.3</v>
      </c>
      <c r="J27" s="8">
        <v>30</v>
      </c>
      <c r="K27" s="8">
        <v>1096.4000000000001</v>
      </c>
    </row>
    <row r="28" spans="2:31" x14ac:dyDescent="0.2">
      <c r="B28" s="8">
        <v>27</v>
      </c>
      <c r="C28" s="11">
        <v>2272.3000000000002</v>
      </c>
      <c r="D28" s="8">
        <v>28</v>
      </c>
      <c r="E28" s="11">
        <v>1832.2</v>
      </c>
      <c r="F28" s="8">
        <v>29</v>
      </c>
      <c r="G28" s="11">
        <v>1518.7</v>
      </c>
      <c r="H28" s="8">
        <v>30</v>
      </c>
      <c r="I28" s="11">
        <v>1286</v>
      </c>
    </row>
    <row r="29" spans="2:31" x14ac:dyDescent="0.2">
      <c r="B29" s="8">
        <v>28</v>
      </c>
      <c r="C29" s="11">
        <v>2285.6</v>
      </c>
      <c r="D29" s="8">
        <v>29</v>
      </c>
      <c r="E29" s="11">
        <v>1844.6</v>
      </c>
      <c r="F29" s="8">
        <v>30</v>
      </c>
      <c r="G29" s="11">
        <v>1530.4</v>
      </c>
    </row>
    <row r="30" spans="2:31" x14ac:dyDescent="0.2">
      <c r="B30" s="8">
        <v>29</v>
      </c>
      <c r="C30" s="11">
        <v>2298.1</v>
      </c>
      <c r="D30" s="8">
        <v>30</v>
      </c>
      <c r="E30" s="11">
        <v>1856.4</v>
      </c>
    </row>
    <row r="31" spans="2:31" x14ac:dyDescent="0.2">
      <c r="B31" s="8">
        <v>30</v>
      </c>
      <c r="C31" s="11">
        <v>2309.8000000000002</v>
      </c>
    </row>
    <row r="34" spans="2:2" ht="18" x14ac:dyDescent="0.2">
      <c r="B34" s="23" t="s">
        <v>424</v>
      </c>
    </row>
  </sheetData>
  <pageMargins left="0.7" right="0.7" top="0.75" bottom="0.75" header="0.3" footer="0.3"/>
  <customProperties>
    <customPr name="_pios_id" r:id="rId1"/>
  </customPropertie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8E82B-CC9B-4B4D-B3F5-6265DA90356F}">
  <sheetPr>
    <tabColor rgb="FF95D8F5"/>
  </sheetPr>
  <dimension ref="A1:Z16"/>
  <sheetViews>
    <sheetView zoomScaleNormal="100" workbookViewId="0">
      <selection activeCell="K34" sqref="K34"/>
    </sheetView>
  </sheetViews>
  <sheetFormatPr baseColWidth="10" defaultColWidth="11" defaultRowHeight="14.25" x14ac:dyDescent="0.2"/>
  <cols>
    <col min="1" max="2" width="31.625" customWidth="1"/>
    <col min="7" max="7" width="37.375" customWidth="1"/>
  </cols>
  <sheetData>
    <row r="1" spans="1:26" ht="18" x14ac:dyDescent="0.25">
      <c r="A1" s="96" t="s">
        <v>425</v>
      </c>
    </row>
    <row r="2" spans="1:26" x14ac:dyDescent="0.2">
      <c r="J2" t="s">
        <v>426</v>
      </c>
      <c r="K2" t="s">
        <v>427</v>
      </c>
    </row>
    <row r="3" spans="1:26" ht="15" x14ac:dyDescent="0.25">
      <c r="C3" s="95" t="s">
        <v>428</v>
      </c>
      <c r="D3" s="95"/>
      <c r="E3" s="95"/>
      <c r="F3" s="95"/>
      <c r="J3" s="91" t="s">
        <v>429</v>
      </c>
    </row>
    <row r="4" spans="1:26" x14ac:dyDescent="0.2">
      <c r="C4" t="s">
        <v>430</v>
      </c>
      <c r="D4" t="s">
        <v>431</v>
      </c>
      <c r="E4" t="s">
        <v>432</v>
      </c>
      <c r="F4" t="s">
        <v>433</v>
      </c>
    </row>
    <row r="5" spans="1:26" x14ac:dyDescent="0.2">
      <c r="C5">
        <v>57.79</v>
      </c>
      <c r="D5">
        <v>-21.9</v>
      </c>
      <c r="E5">
        <v>-1.97</v>
      </c>
      <c r="F5">
        <v>40</v>
      </c>
    </row>
    <row r="8" spans="1:26" ht="15" x14ac:dyDescent="0.25">
      <c r="J8" s="21" t="s">
        <v>434</v>
      </c>
      <c r="P8" s="21" t="s">
        <v>435</v>
      </c>
      <c r="Z8" s="21" t="s">
        <v>436</v>
      </c>
    </row>
    <row r="9" spans="1:26" x14ac:dyDescent="0.2">
      <c r="A9" t="s">
        <v>437</v>
      </c>
      <c r="B9" s="20" t="s">
        <v>438</v>
      </c>
      <c r="C9" t="s">
        <v>439</v>
      </c>
      <c r="D9" t="s">
        <v>440</v>
      </c>
      <c r="E9" t="s">
        <v>441</v>
      </c>
      <c r="F9" t="s">
        <v>442</v>
      </c>
      <c r="G9" t="s">
        <v>443</v>
      </c>
    </row>
    <row r="10" spans="1:26" ht="63.6" customHeight="1" x14ac:dyDescent="0.2">
      <c r="A10" s="94" t="s">
        <v>444</v>
      </c>
      <c r="B10" s="93">
        <f>SUMPRODUCT($C$5:$F$5,C10:F10)</f>
        <v>34.020900000000005</v>
      </c>
      <c r="C10" s="86">
        <v>0.41</v>
      </c>
      <c r="D10" s="87">
        <v>1.22</v>
      </c>
      <c r="E10" s="87">
        <v>1.5</v>
      </c>
      <c r="F10" s="87">
        <v>1</v>
      </c>
      <c r="G10" s="94" t="s">
        <v>445</v>
      </c>
    </row>
    <row r="11" spans="1:26" ht="50.45" customHeight="1" x14ac:dyDescent="0.2">
      <c r="A11" s="94" t="s">
        <v>446</v>
      </c>
      <c r="B11" s="93">
        <f>SUMPRODUCT($C$5:$F$5,C11:F11)</f>
        <v>13.197266666666671</v>
      </c>
      <c r="C11" s="86">
        <v>0.64</v>
      </c>
      <c r="D11" s="86">
        <f>1/0.36</f>
        <v>2.7777777777777777</v>
      </c>
      <c r="E11" s="87">
        <v>1.5</v>
      </c>
      <c r="F11" s="87">
        <v>1</v>
      </c>
    </row>
    <row r="12" spans="1:26" ht="38.1" customHeight="1" x14ac:dyDescent="0.2">
      <c r="A12" s="94" t="s">
        <v>447</v>
      </c>
      <c r="B12" s="93">
        <f>SUMPRODUCT($C$5:$F$5,C12:F12)</f>
        <v>24.257872727272726</v>
      </c>
      <c r="C12" s="86">
        <v>0.64</v>
      </c>
      <c r="D12" s="86">
        <f>1/0.44</f>
        <v>2.2727272727272729</v>
      </c>
      <c r="E12" s="87">
        <v>1.5</v>
      </c>
      <c r="F12" s="87">
        <v>1</v>
      </c>
    </row>
    <row r="16" spans="1:26" x14ac:dyDescent="0.2">
      <c r="A16" t="s">
        <v>448</v>
      </c>
    </row>
  </sheetData>
  <hyperlinks>
    <hyperlink ref="J3" r:id="rId1" xr:uid="{E9BA7E11-D6B0-4C9C-AF98-05AA47A086A1}"/>
  </hyperlinks>
  <pageMargins left="0.7" right="0.7" top="0.75" bottom="0.75" header="0.3" footer="0.3"/>
  <customProperties>
    <customPr name="_pios_id" r:id="rId2"/>
  </customProperties>
  <drawing r:id="rId3"/>
  <legacyDrawing r:id="rId4"/>
  <tableParts count="2">
    <tablePart r:id="rId5"/>
    <tablePart r:id="rId6"/>
  </tablePar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5">
    <tabColor theme="7" tint="0.59999389629810485"/>
  </sheetPr>
  <dimension ref="B1:U39"/>
  <sheetViews>
    <sheetView showGridLines="0" topLeftCell="H1" zoomScaleNormal="100" workbookViewId="0">
      <selection activeCell="C39" sqref="C39:D39"/>
    </sheetView>
  </sheetViews>
  <sheetFormatPr baseColWidth="10" defaultColWidth="11" defaultRowHeight="14.25" x14ac:dyDescent="0.2"/>
  <cols>
    <col min="1" max="1" width="1.5" customWidth="1"/>
    <col min="9" max="9" width="15.5" customWidth="1"/>
    <col min="12" max="12" width="11" customWidth="1"/>
    <col min="13" max="13" width="13.125" customWidth="1"/>
    <col min="14" max="14" width="17.5" customWidth="1"/>
    <col min="15" max="15" width="18" customWidth="1"/>
    <col min="16" max="16" width="46.375" customWidth="1"/>
    <col min="17" max="17" width="8" customWidth="1"/>
    <col min="19" max="19" width="14.5" customWidth="1"/>
    <col min="20" max="20" width="10"/>
    <col min="21" max="21" width="43.625" customWidth="1"/>
  </cols>
  <sheetData>
    <row r="1" spans="2:21" ht="15" x14ac:dyDescent="0.25">
      <c r="N1" s="15" t="s">
        <v>351</v>
      </c>
    </row>
    <row r="2" spans="2:21" ht="15" x14ac:dyDescent="0.25">
      <c r="E2" s="22" t="s">
        <v>449</v>
      </c>
      <c r="N2" s="101">
        <v>5.6782630000000003</v>
      </c>
      <c r="P2" s="22" t="s">
        <v>450</v>
      </c>
    </row>
    <row r="3" spans="2:21" ht="14.1" customHeight="1" x14ac:dyDescent="0.2"/>
    <row r="4" spans="2:21" ht="15" x14ac:dyDescent="0.25">
      <c r="B4" s="15" t="s">
        <v>354</v>
      </c>
      <c r="C4" s="15" t="s">
        <v>451</v>
      </c>
      <c r="G4" s="15" t="s">
        <v>452</v>
      </c>
      <c r="H4" s="15" t="s">
        <v>453</v>
      </c>
      <c r="I4" s="15" t="s">
        <v>395</v>
      </c>
      <c r="J4" s="15" t="s">
        <v>454</v>
      </c>
      <c r="K4" s="15" t="s">
        <v>194</v>
      </c>
      <c r="M4" s="15" t="s">
        <v>455</v>
      </c>
      <c r="N4" s="15" t="s">
        <v>456</v>
      </c>
      <c r="P4" s="15" t="s">
        <v>457</v>
      </c>
      <c r="Q4" s="15" t="s">
        <v>173</v>
      </c>
      <c r="R4" s="15" t="s">
        <v>260</v>
      </c>
      <c r="S4" s="15" t="s">
        <v>477</v>
      </c>
    </row>
    <row r="5" spans="2:21" ht="15" x14ac:dyDescent="0.25">
      <c r="B5" s="7">
        <v>0</v>
      </c>
      <c r="C5" s="7">
        <v>1</v>
      </c>
      <c r="E5" s="598" t="s">
        <v>458</v>
      </c>
      <c r="F5" s="599"/>
      <c r="G5" s="14">
        <f>IF(M5="R",N5, IF(M5="RSI",N5*$N$2,0))</f>
        <v>0</v>
      </c>
      <c r="H5" s="16">
        <f>VLOOKUP(G5,B5:C35,2,TRUE)</f>
        <v>1</v>
      </c>
      <c r="I5" s="600">
        <f>IF(G6&lt;19.6,0,IF(H5=H6,0,IF('Niveau toit'!H5=1,VLOOKUP('Niveau toit'!H6,'MJ par m² toit'!$B$3:$C$31,2,FALSE),
IF('Niveau toit'!H5=2,VLOOKUP('Niveau toit'!H6,'MJ par m² toit'!$D$3:$E$30,2,FALSE),
IF('Niveau toit'!H5=3,VLOOKUP('Niveau toit'!H6,'MJ par m² toit'!$F$3:$G$29,2,FALSE),
IF('Niveau toit'!H5=4,VLOOKUP('Niveau toit'!H6,'MJ par m² toit'!$H$3:$I$28,2,FALSE),
IF('Niveau toit'!H5=5,VLOOKUP('Niveau toit'!H6,'MJ par m² toit'!$J$3:$K$27,2,FALSE),
IF('Niveau toit'!H5=6,VLOOKUP('Niveau toit'!H6,'MJ par m² toit'!$L$3:$M$26,2,FALSE),
IF('Niveau toit'!H5=7,VLOOKUP('Niveau toit'!H6,'MJ par m² toit'!$N$3:$O$25,2,FALSE),
IF('Niveau toit'!H5=8,VLOOKUP('Niveau toit'!H6,'MJ par m² toit'!$P$3:$Q$24,2,FALSE),
IF('Niveau toit'!H5=9,VLOOKUP('Niveau toit'!H6,'MJ par m² toit'!$R$3:$S$23,2,FALSE),
IF('Niveau toit'!H5=10,VLOOKUP('Niveau toit'!H6,'MJ par m² toit'!$T$3:$U$22,2,FALSE),
IF('Niveau toit'!H5=11,VLOOKUP('Niveau toit'!H6,'MJ par m² toit'!$V$3:$W$21,2,FALSE),
IF('Niveau toit'!H5=12,VLOOKUP('Niveau toit'!H6,'MJ par m² toit'!$X$3:$Y$20,2,FALSE),
IF('Niveau toit'!H5=13,VLOOKUP('Niveau toit'!H6,'MJ par m² toit'!$Z$3:$AA$19,2,FALSE),
IF('Niveau toit'!H5=14,VLOOKUP('Niveau toit'!H6,'MJ par m² toit'!$AB$3:$AC$18,2,FALSE),
IF('Niveau toit'!H5=15,VLOOKUP('Niveau toit'!H6,'MJ par m² toit'!$AD$3:$AE$17,2,FALSE),
IF('Niveau toit'!H5=16,VLOOKUP('Niveau toit'!H6,'MJ par m² toit'!$AF$3:$AG$16,2,FALSE),
IF('Niveau toit'!H5=17,VLOOKUP('Niveau toit'!H6,'MJ par m² toit'!$AH$3:$AI$15,2,FALSE),
IF('Niveau toit'!H5=18,VLOOKUP('Niveau toit'!H6,'MJ par m² toit'!$AJ$3:$AK$14,2,FALSE),
IF('Niveau toit'!H5=19,VLOOKUP('Niveau toit'!H6,'MJ par m² toit'!$AL$3:$AM$13,2,FALSE),
IF('Niveau toit'!H5=20,VLOOKUP('Niveau toit'!H6,'MJ par m² toit'!$AN$3:$AO$12,2,FALSE),
IF('Niveau toit'!H5=21,VLOOKUP('Niveau toit'!H6,'MJ par m² toit'!$AP$3:$AQ$11,2,FALSE),
IF('Niveau toit'!H5=22,VLOOKUP('Niveau toit'!H6,'MJ par m² toit'!$AR$3:$AS$10,2,FALSE),
IF('Niveau toit'!H5=23,VLOOKUP('Niveau toit'!H6,'MJ par m² toit'!$AT$3:$AU$9,2,FALSE),
IF('Niveau toit'!H5=24,VLOOKUP('Niveau toit'!H6,'MJ par m² toit'!$AV$3:$AW$8,2,FALSE),
IF('Niveau toit'!H5=25,VLOOKUP('Niveau toit'!H6,'MJ par m² toit'!$AX$3:$AY$7,2,FALSE),
IF('Niveau toit'!H5=26,VLOOKUP('Niveau toit'!H6,'MJ par m² toit'!$AZ$3:$BA$6,2,FALSE),
IF('Niveau toit'!H5=27,VLOOKUP('Niveau toit'!H6,'MJ par m² toit'!$BB$3:$BC$5,2,FALSE),
IF('Niveau toit'!H5=28,VLOOKUP('Niveau toit'!H6,'MJ par m² toit'!$BD$3:$BE$4,2,FALSE),
IF('Niveau toit'!H5=29,VLOOKUP('Niveau toit'!H6,'MJ par m² toit'!$BF$3:$BG$3,2,FALSE))))))))))))))))))))))))))))))))</f>
        <v>0</v>
      </c>
      <c r="J5" s="600">
        <f>IF( '2 - Description of the work'!J39="m²", '2 - Description of the work'!H39, IF( '2 - Description of the work'!J39 ="ft²", '2 - Description of the work'!H39*0.092903, 0 ))*G10</f>
        <v>0</v>
      </c>
      <c r="K5" s="596">
        <f>I5*J5</f>
        <v>0</v>
      </c>
      <c r="M5" s="14">
        <f>'2 - Description of the work'!$H$43</f>
        <v>0</v>
      </c>
      <c r="N5" s="14" t="str">
        <f>'2 - Description of the work'!H48</f>
        <v/>
      </c>
      <c r="P5" s="99" t="str">
        <f>Contrôle!U3</f>
        <v>Roof with attic</v>
      </c>
      <c r="Q5" s="200">
        <f t="shared" ref="Q5:Q6" si="0">R5*$N$2</f>
        <v>47.299930790000005</v>
      </c>
      <c r="R5" s="370">
        <v>8.33</v>
      </c>
      <c r="S5" s="44"/>
    </row>
    <row r="6" spans="2:21" ht="15" x14ac:dyDescent="0.25">
      <c r="B6" s="7">
        <v>4</v>
      </c>
      <c r="C6" s="7">
        <v>1</v>
      </c>
      <c r="E6" s="598" t="s">
        <v>459</v>
      </c>
      <c r="F6" s="599"/>
      <c r="G6" s="14">
        <f>IFERROR(G10*G9,0)</f>
        <v>0</v>
      </c>
      <c r="H6" s="16">
        <f>VLOOKUP(G6,B5:C35,2,TRUE)</f>
        <v>1</v>
      </c>
      <c r="I6" s="601"/>
      <c r="J6" s="601"/>
      <c r="K6" s="597"/>
      <c r="M6" s="14">
        <f>'2 - Description of the work'!$H$43</f>
        <v>0</v>
      </c>
      <c r="N6" s="14">
        <f>'2 - Description of the work'!H46</f>
        <v>0</v>
      </c>
      <c r="P6" s="99" t="str">
        <f>Contrôle!U4</f>
        <v>Roof with beams and parallel chord trusses</v>
      </c>
      <c r="Q6" s="200">
        <f t="shared" si="0"/>
        <v>24.700444049999998</v>
      </c>
      <c r="R6" s="370">
        <v>4.3499999999999996</v>
      </c>
      <c r="S6" s="44"/>
    </row>
    <row r="7" spans="2:21" ht="15" x14ac:dyDescent="0.25">
      <c r="B7" s="7">
        <v>6</v>
      </c>
      <c r="C7" s="7">
        <v>2</v>
      </c>
      <c r="E7" s="598" t="s">
        <v>457</v>
      </c>
      <c r="F7" s="599"/>
      <c r="G7" s="602" t="str">
        <f>IF('2 - Description of the work'!F50="","",'2 - Description of the work'!F50)</f>
        <v/>
      </c>
      <c r="H7" s="602"/>
      <c r="I7" s="603"/>
      <c r="P7" s="99" t="str">
        <f>Contrôle!U5</f>
        <v>Flat roof with concrete slab or steel planks</v>
      </c>
      <c r="Q7" s="200">
        <f>R7*$N$2</f>
        <v>19.59000735</v>
      </c>
      <c r="R7" s="370">
        <v>3.45</v>
      </c>
      <c r="S7" s="44" t="str">
        <f t="shared" ref="S7" si="1">IF($M$5 = "R", "- R " &amp; TEXT(Q7,"0,0"),"- RSI " &amp; TEXT(R7,"0,00"))</f>
        <v>- RSI 3,45</v>
      </c>
    </row>
    <row r="8" spans="2:21" ht="27.75" customHeight="1" x14ac:dyDescent="0.25">
      <c r="B8" s="7">
        <v>8</v>
      </c>
      <c r="C8" s="7">
        <v>3</v>
      </c>
      <c r="E8" s="598" t="s">
        <v>460</v>
      </c>
      <c r="F8" s="599"/>
      <c r="G8" s="9" t="e">
        <f>VLOOKUP(G7,$P$5:$R$7,2,FALSE)</f>
        <v>#N/A</v>
      </c>
      <c r="S8" s="595" t="s">
        <v>561</v>
      </c>
      <c r="T8" s="595"/>
      <c r="U8" s="595"/>
    </row>
    <row r="9" spans="2:21" ht="15" customHeight="1" x14ac:dyDescent="0.25">
      <c r="B9" s="7">
        <v>10</v>
      </c>
      <c r="C9" s="7">
        <v>4</v>
      </c>
      <c r="E9" s="598" t="s">
        <v>461</v>
      </c>
      <c r="F9" s="599"/>
      <c r="G9" s="9">
        <f>IF(M6="R",N6, IF(M6="RSI",N6*$N$2,0))</f>
        <v>0</v>
      </c>
      <c r="P9" s="31" t="s">
        <v>462</v>
      </c>
      <c r="S9" s="369"/>
      <c r="T9" s="369"/>
      <c r="U9" s="369"/>
    </row>
    <row r="10" spans="2:21" ht="14.45" customHeight="1" x14ac:dyDescent="0.25">
      <c r="B10" s="7">
        <v>12</v>
      </c>
      <c r="C10" s="7">
        <v>5</v>
      </c>
      <c r="E10" s="598" t="s">
        <v>463</v>
      </c>
      <c r="F10" s="599"/>
      <c r="G10" s="16">
        <f>IFERROR(IF((G9&gt;=G8)*(G9&gt;G5),1,0),0)</f>
        <v>0</v>
      </c>
      <c r="P10" s="32" t="s">
        <v>464</v>
      </c>
      <c r="Q10" s="32" t="str">
        <f>IF($M$5 = "R", " - R " &amp; TEXT(Q5,"0,0")," - RSI " &amp; TEXT(R5,"0,00"))</f>
        <v xml:space="preserve"> - RSI 8,33</v>
      </c>
    </row>
    <row r="11" spans="2:21" x14ac:dyDescent="0.2">
      <c r="B11" s="7">
        <v>14</v>
      </c>
      <c r="C11" s="7">
        <v>6</v>
      </c>
      <c r="O11" s="79"/>
      <c r="P11" s="32" t="s">
        <v>465</v>
      </c>
      <c r="Q11" s="32" t="str">
        <f>IF($M$5 = "R", " - R " &amp; TEXT(Q6,"0,0")," - RSI " &amp; TEXT(R6,"0,00"))</f>
        <v xml:space="preserve"> - RSI 4,35</v>
      </c>
    </row>
    <row r="12" spans="2:21" x14ac:dyDescent="0.2">
      <c r="B12" s="7">
        <v>16</v>
      </c>
      <c r="C12" s="7">
        <v>7</v>
      </c>
      <c r="O12" s="79"/>
      <c r="P12" s="32" t="s">
        <v>466</v>
      </c>
      <c r="Q12" s="32" t="str">
        <f>IF($M$5 = "R", " - R " &amp; TEXT(Q7,"0,0")," - RSI " &amp; TEXT(R7,"0,00"))</f>
        <v xml:space="preserve"> - RSI 3,45</v>
      </c>
    </row>
    <row r="13" spans="2:21" x14ac:dyDescent="0.2">
      <c r="B13" s="7">
        <v>18</v>
      </c>
      <c r="C13" s="7">
        <v>8</v>
      </c>
      <c r="E13" s="594" t="s">
        <v>467</v>
      </c>
      <c r="F13" s="594"/>
      <c r="G13" s="594"/>
      <c r="H13" s="594"/>
      <c r="I13" s="594"/>
      <c r="J13" s="594"/>
      <c r="O13" s="79"/>
    </row>
    <row r="14" spans="2:21" ht="15" x14ac:dyDescent="0.25">
      <c r="B14" s="7">
        <v>20</v>
      </c>
      <c r="C14" s="7">
        <v>9</v>
      </c>
      <c r="E14" s="594"/>
      <c r="F14" s="594"/>
      <c r="G14" s="594"/>
      <c r="H14" s="594"/>
      <c r="I14" s="594"/>
      <c r="J14" s="594"/>
      <c r="P14" s="371" t="s">
        <v>562</v>
      </c>
      <c r="Q14" s="372"/>
      <c r="R14" s="372"/>
    </row>
    <row r="15" spans="2:21" x14ac:dyDescent="0.2">
      <c r="B15" s="7">
        <v>22</v>
      </c>
      <c r="C15" s="7">
        <v>10</v>
      </c>
      <c r="E15" s="594"/>
      <c r="F15" s="594"/>
      <c r="G15" s="594"/>
      <c r="H15" s="594"/>
      <c r="I15" s="594"/>
      <c r="J15" s="594"/>
      <c r="P15" s="372"/>
      <c r="Q15" s="372"/>
      <c r="R15" s="372"/>
    </row>
    <row r="16" spans="2:21" ht="15" x14ac:dyDescent="0.25">
      <c r="B16" s="7">
        <v>24</v>
      </c>
      <c r="C16" s="7">
        <v>11</v>
      </c>
      <c r="P16" s="373" t="s">
        <v>563</v>
      </c>
      <c r="Q16" s="373" t="s">
        <v>173</v>
      </c>
      <c r="R16" s="373" t="s">
        <v>260</v>
      </c>
    </row>
    <row r="17" spans="2:18" ht="15" x14ac:dyDescent="0.25">
      <c r="B17" s="7">
        <v>26</v>
      </c>
      <c r="C17" s="7">
        <v>12</v>
      </c>
      <c r="E17" s="593" t="s">
        <v>468</v>
      </c>
      <c r="F17" s="593"/>
      <c r="G17" s="593"/>
      <c r="H17" s="593"/>
      <c r="I17" s="593"/>
      <c r="J17" s="593"/>
      <c r="P17" s="374" t="str">
        <f>P5</f>
        <v>Roof with attic</v>
      </c>
      <c r="Q17" s="375">
        <f>R17*$N$2</f>
        <v>17.6026153</v>
      </c>
      <c r="R17" s="376">
        <v>3.1</v>
      </c>
    </row>
    <row r="18" spans="2:18" ht="15" x14ac:dyDescent="0.25">
      <c r="B18" s="7">
        <v>28</v>
      </c>
      <c r="C18" s="7">
        <v>13</v>
      </c>
      <c r="E18" s="593"/>
      <c r="F18" s="593"/>
      <c r="G18" s="593"/>
      <c r="H18" s="593"/>
      <c r="I18" s="593"/>
      <c r="J18" s="593"/>
      <c r="P18" s="374" t="str">
        <f t="shared" ref="P18:P19" si="2">P6</f>
        <v>Roof with beams and parallel chord trusses</v>
      </c>
      <c r="Q18" s="375">
        <f t="shared" ref="Q18" si="3">R18*$N$2</f>
        <v>17.6026153</v>
      </c>
      <c r="R18" s="376">
        <v>3.1</v>
      </c>
    </row>
    <row r="19" spans="2:18" ht="15" x14ac:dyDescent="0.25">
      <c r="B19" s="7">
        <v>30</v>
      </c>
      <c r="C19" s="7">
        <v>14</v>
      </c>
      <c r="E19" s="593"/>
      <c r="F19" s="593"/>
      <c r="G19" s="593"/>
      <c r="H19" s="593"/>
      <c r="I19" s="593"/>
      <c r="J19" s="593"/>
      <c r="P19" s="374" t="str">
        <f t="shared" si="2"/>
        <v>Flat roof with concrete slab or steel planks</v>
      </c>
      <c r="Q19" s="375">
        <f>R19*$N$2</f>
        <v>17.6026153</v>
      </c>
      <c r="R19" s="376">
        <v>3.1</v>
      </c>
    </row>
    <row r="20" spans="2:18" x14ac:dyDescent="0.2">
      <c r="B20" s="7">
        <v>32</v>
      </c>
      <c r="C20" s="7">
        <v>15</v>
      </c>
      <c r="E20" s="593"/>
      <c r="F20" s="593"/>
      <c r="G20" s="593"/>
      <c r="H20" s="593"/>
      <c r="I20" s="593"/>
      <c r="J20" s="593"/>
    </row>
    <row r="21" spans="2:18" x14ac:dyDescent="0.2">
      <c r="B21" s="7">
        <v>34</v>
      </c>
      <c r="C21" s="7">
        <v>16</v>
      </c>
    </row>
    <row r="22" spans="2:18" x14ac:dyDescent="0.2">
      <c r="B22" s="7">
        <v>36</v>
      </c>
      <c r="C22" s="7">
        <v>17</v>
      </c>
    </row>
    <row r="23" spans="2:18" x14ac:dyDescent="0.2">
      <c r="B23" s="7">
        <v>38</v>
      </c>
      <c r="C23" s="7">
        <v>18</v>
      </c>
    </row>
    <row r="24" spans="2:18" x14ac:dyDescent="0.2">
      <c r="B24" s="7">
        <v>40</v>
      </c>
      <c r="C24" s="7">
        <v>19</v>
      </c>
    </row>
    <row r="25" spans="2:18" x14ac:dyDescent="0.2">
      <c r="B25" s="7">
        <v>42</v>
      </c>
      <c r="C25" s="7">
        <v>20</v>
      </c>
    </row>
    <row r="26" spans="2:18" x14ac:dyDescent="0.2">
      <c r="B26" s="7">
        <v>44</v>
      </c>
      <c r="C26" s="7">
        <v>21</v>
      </c>
    </row>
    <row r="27" spans="2:18" x14ac:dyDescent="0.2">
      <c r="B27" s="7">
        <v>46</v>
      </c>
      <c r="C27" s="7">
        <v>22</v>
      </c>
    </row>
    <row r="28" spans="2:18" x14ac:dyDescent="0.2">
      <c r="B28" s="7">
        <v>48</v>
      </c>
      <c r="C28" s="7">
        <v>23</v>
      </c>
    </row>
    <row r="29" spans="2:18" x14ac:dyDescent="0.2">
      <c r="B29" s="7">
        <v>50</v>
      </c>
      <c r="C29" s="7">
        <v>24</v>
      </c>
    </row>
    <row r="30" spans="2:18" x14ac:dyDescent="0.2">
      <c r="B30" s="7">
        <v>52</v>
      </c>
      <c r="C30" s="7">
        <v>25</v>
      </c>
    </row>
    <row r="31" spans="2:18" x14ac:dyDescent="0.2">
      <c r="B31" s="7">
        <v>54</v>
      </c>
      <c r="C31" s="7">
        <v>26</v>
      </c>
    </row>
    <row r="32" spans="2:18" x14ac:dyDescent="0.2">
      <c r="B32" s="7">
        <v>56</v>
      </c>
      <c r="C32" s="7">
        <v>27</v>
      </c>
    </row>
    <row r="33" spans="2:16" x14ac:dyDescent="0.2">
      <c r="B33" s="7">
        <v>58</v>
      </c>
      <c r="C33" s="7">
        <v>28</v>
      </c>
    </row>
    <row r="34" spans="2:16" x14ac:dyDescent="0.2">
      <c r="B34" s="7">
        <v>60</v>
      </c>
      <c r="C34" s="7">
        <v>29</v>
      </c>
    </row>
    <row r="35" spans="2:16" x14ac:dyDescent="0.2">
      <c r="B35" s="7">
        <v>62</v>
      </c>
      <c r="C35" s="7">
        <v>30</v>
      </c>
    </row>
    <row r="38" spans="2:16" x14ac:dyDescent="0.2">
      <c r="B38" t="s">
        <v>469</v>
      </c>
    </row>
    <row r="39" spans="2:16" ht="18.75" x14ac:dyDescent="0.2">
      <c r="B39" s="196" t="s">
        <v>470</v>
      </c>
      <c r="C39" s="194"/>
      <c r="D39" s="194"/>
      <c r="E39" s="194"/>
      <c r="F39" s="194"/>
      <c r="G39" s="194"/>
      <c r="H39" s="194"/>
      <c r="I39" s="194"/>
      <c r="J39" s="194"/>
      <c r="K39" s="194"/>
      <c r="L39" s="194"/>
      <c r="M39" s="194"/>
      <c r="N39" s="194"/>
      <c r="O39" s="194"/>
      <c r="P39" s="194"/>
    </row>
  </sheetData>
  <mergeCells count="13">
    <mergeCell ref="S8:U8"/>
    <mergeCell ref="K5:K6"/>
    <mergeCell ref="E17:J20"/>
    <mergeCell ref="E5:F5"/>
    <mergeCell ref="I5:I6"/>
    <mergeCell ref="E6:F6"/>
    <mergeCell ref="E13:J15"/>
    <mergeCell ref="E7:F7"/>
    <mergeCell ref="G7:I7"/>
    <mergeCell ref="E8:F8"/>
    <mergeCell ref="E9:F9"/>
    <mergeCell ref="J5:J6"/>
    <mergeCell ref="E10:F10"/>
  </mergeCells>
  <conditionalFormatting sqref="F30:G30">
    <cfRule type="expression" priority="1">
      <formula>$H$8="non"</formula>
    </cfRule>
  </conditionalFormatting>
  <pageMargins left="0.7" right="0.7" top="0.75" bottom="0.75" header="0.3" footer="0.3"/>
  <pageSetup orientation="portrait" r:id="rId1"/>
  <customProperties>
    <customPr name="_pios_id" r:id="rId2"/>
  </customProperties>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6">
    <tabColor theme="7" tint="0.59999389629810485"/>
  </sheetPr>
  <dimension ref="B1:BG35"/>
  <sheetViews>
    <sheetView showGridLines="0" workbookViewId="0">
      <selection activeCell="K34" sqref="K34"/>
    </sheetView>
  </sheetViews>
  <sheetFormatPr baseColWidth="10" defaultColWidth="11" defaultRowHeight="14.25" x14ac:dyDescent="0.2"/>
  <cols>
    <col min="1" max="1" width="1.5" customWidth="1"/>
  </cols>
  <sheetData>
    <row r="1" spans="2:59" ht="9" customHeight="1" x14ac:dyDescent="0.2"/>
    <row r="2" spans="2:59" x14ac:dyDescent="0.2">
      <c r="B2" s="8" t="s">
        <v>394</v>
      </c>
      <c r="C2" s="8" t="s">
        <v>395</v>
      </c>
      <c r="D2" s="8" t="s">
        <v>396</v>
      </c>
      <c r="E2" s="8" t="s">
        <v>395</v>
      </c>
      <c r="F2" s="8" t="s">
        <v>397</v>
      </c>
      <c r="G2" s="8" t="s">
        <v>395</v>
      </c>
      <c r="H2" s="8" t="s">
        <v>398</v>
      </c>
      <c r="I2" s="8" t="s">
        <v>395</v>
      </c>
      <c r="J2" s="8" t="s">
        <v>399</v>
      </c>
      <c r="K2" s="8" t="s">
        <v>395</v>
      </c>
      <c r="L2" s="8" t="s">
        <v>400</v>
      </c>
      <c r="M2" s="8" t="s">
        <v>395</v>
      </c>
      <c r="N2" s="8" t="s">
        <v>401</v>
      </c>
      <c r="O2" s="8" t="s">
        <v>395</v>
      </c>
      <c r="P2" s="8" t="s">
        <v>402</v>
      </c>
      <c r="Q2" s="8" t="s">
        <v>395</v>
      </c>
      <c r="R2" s="8" t="s">
        <v>403</v>
      </c>
      <c r="S2" s="8" t="s">
        <v>395</v>
      </c>
      <c r="T2" s="8" t="s">
        <v>404</v>
      </c>
      <c r="U2" s="8" t="s">
        <v>395</v>
      </c>
      <c r="V2" s="8" t="s">
        <v>405</v>
      </c>
      <c r="W2" s="8" t="s">
        <v>395</v>
      </c>
      <c r="X2" s="8" t="s">
        <v>406</v>
      </c>
      <c r="Y2" s="8" t="s">
        <v>395</v>
      </c>
      <c r="Z2" s="8" t="s">
        <v>407</v>
      </c>
      <c r="AA2" s="8" t="s">
        <v>395</v>
      </c>
      <c r="AB2" s="8" t="s">
        <v>408</v>
      </c>
      <c r="AC2" s="8" t="s">
        <v>395</v>
      </c>
      <c r="AD2" s="8" t="s">
        <v>409</v>
      </c>
      <c r="AE2" s="8" t="s">
        <v>395</v>
      </c>
      <c r="AF2" s="8" t="s">
        <v>410</v>
      </c>
      <c r="AG2" s="8" t="s">
        <v>395</v>
      </c>
      <c r="AH2" s="8" t="s">
        <v>411</v>
      </c>
      <c r="AI2" s="8" t="s">
        <v>395</v>
      </c>
      <c r="AJ2" s="8" t="s">
        <v>412</v>
      </c>
      <c r="AK2" s="8" t="s">
        <v>395</v>
      </c>
      <c r="AL2" s="8" t="s">
        <v>413</v>
      </c>
      <c r="AM2" s="8" t="s">
        <v>395</v>
      </c>
      <c r="AN2" s="8" t="s">
        <v>414</v>
      </c>
      <c r="AO2" s="8" t="s">
        <v>395</v>
      </c>
      <c r="AP2" s="8" t="s">
        <v>415</v>
      </c>
      <c r="AQ2" s="8" t="s">
        <v>395</v>
      </c>
      <c r="AR2" s="8" t="s">
        <v>416</v>
      </c>
      <c r="AS2" s="8" t="s">
        <v>395</v>
      </c>
      <c r="AT2" s="8" t="s">
        <v>417</v>
      </c>
      <c r="AU2" s="8" t="s">
        <v>395</v>
      </c>
      <c r="AV2" s="8" t="s">
        <v>418</v>
      </c>
      <c r="AW2" s="8" t="s">
        <v>395</v>
      </c>
      <c r="AX2" s="8" t="s">
        <v>419</v>
      </c>
      <c r="AY2" s="8" t="s">
        <v>395</v>
      </c>
      <c r="AZ2" s="8" t="s">
        <v>420</v>
      </c>
      <c r="BA2" s="8" t="s">
        <v>395</v>
      </c>
      <c r="BB2" s="8" t="s">
        <v>421</v>
      </c>
      <c r="BC2" s="8" t="s">
        <v>395</v>
      </c>
      <c r="BD2" s="8" t="s">
        <v>422</v>
      </c>
      <c r="BE2" s="8" t="s">
        <v>395</v>
      </c>
      <c r="BF2" s="8" t="s">
        <v>423</v>
      </c>
      <c r="BG2" s="8" t="s">
        <v>395</v>
      </c>
    </row>
    <row r="3" spans="2:59" x14ac:dyDescent="0.2">
      <c r="B3" s="8">
        <v>2</v>
      </c>
      <c r="C3" s="11">
        <v>301.89999999999998</v>
      </c>
      <c r="D3" s="8">
        <v>3</v>
      </c>
      <c r="E3" s="11">
        <v>132.1</v>
      </c>
      <c r="F3" s="8">
        <v>4</v>
      </c>
      <c r="G3" s="11">
        <v>73.2</v>
      </c>
      <c r="H3" s="8">
        <v>5</v>
      </c>
      <c r="I3" s="11">
        <v>46.3</v>
      </c>
      <c r="J3" s="8">
        <v>6</v>
      </c>
      <c r="K3" s="8">
        <v>31.9</v>
      </c>
      <c r="L3" s="8">
        <v>7</v>
      </c>
      <c r="M3" s="11">
        <v>23.2</v>
      </c>
      <c r="N3" s="8">
        <v>8</v>
      </c>
      <c r="O3" s="11">
        <v>17.7</v>
      </c>
      <c r="P3" s="8">
        <v>9</v>
      </c>
      <c r="Q3" s="11">
        <v>13.9</v>
      </c>
      <c r="R3" s="8">
        <v>10</v>
      </c>
      <c r="S3" s="11">
        <v>11.2</v>
      </c>
      <c r="T3" s="8">
        <v>11</v>
      </c>
      <c r="U3" s="11">
        <v>9.1999999999999993</v>
      </c>
      <c r="V3" s="8">
        <v>12</v>
      </c>
      <c r="W3" s="11">
        <v>7.7</v>
      </c>
      <c r="X3" s="8">
        <v>13</v>
      </c>
      <c r="Y3" s="11">
        <v>6.5</v>
      </c>
      <c r="Z3" s="8">
        <v>14</v>
      </c>
      <c r="AA3" s="11">
        <v>5.6</v>
      </c>
      <c r="AB3" s="8">
        <v>15</v>
      </c>
      <c r="AC3" s="11">
        <v>4.9000000000000004</v>
      </c>
      <c r="AD3" s="8">
        <v>16</v>
      </c>
      <c r="AE3" s="11">
        <v>4.3</v>
      </c>
      <c r="AF3" s="8">
        <v>17</v>
      </c>
      <c r="AG3" s="11">
        <v>3.8</v>
      </c>
      <c r="AH3" s="8">
        <v>18</v>
      </c>
      <c r="AI3" s="11">
        <v>3.4</v>
      </c>
      <c r="AJ3" s="8">
        <v>19</v>
      </c>
      <c r="AK3" s="11">
        <v>3</v>
      </c>
      <c r="AL3" s="8">
        <v>20</v>
      </c>
      <c r="AM3" s="11">
        <v>2.7</v>
      </c>
      <c r="AN3" s="8">
        <v>21</v>
      </c>
      <c r="AO3" s="11">
        <v>2.5</v>
      </c>
      <c r="AP3" s="8">
        <v>22</v>
      </c>
      <c r="AQ3" s="11">
        <v>2.2000000000000002</v>
      </c>
      <c r="AR3" s="8">
        <v>23</v>
      </c>
      <c r="AS3" s="8">
        <v>2.1</v>
      </c>
      <c r="AT3" s="8">
        <v>24</v>
      </c>
      <c r="AU3" s="11">
        <v>1.9</v>
      </c>
      <c r="AV3" s="8">
        <v>25</v>
      </c>
      <c r="AW3" s="11">
        <v>1.7</v>
      </c>
      <c r="AX3" s="8">
        <v>26</v>
      </c>
      <c r="AY3" s="11">
        <v>1.6</v>
      </c>
      <c r="AZ3" s="8">
        <v>27</v>
      </c>
      <c r="BA3" s="8">
        <v>1.5</v>
      </c>
      <c r="BB3" s="8">
        <v>28</v>
      </c>
      <c r="BC3" s="8">
        <v>1.4</v>
      </c>
      <c r="BD3" s="8">
        <v>29</v>
      </c>
      <c r="BE3" s="8">
        <v>1.3</v>
      </c>
      <c r="BF3" s="8">
        <v>30</v>
      </c>
      <c r="BG3" s="8">
        <v>1.2</v>
      </c>
    </row>
    <row r="4" spans="2:59" x14ac:dyDescent="0.2">
      <c r="B4" s="8">
        <v>3</v>
      </c>
      <c r="C4" s="11">
        <v>434</v>
      </c>
      <c r="D4" s="8">
        <v>4</v>
      </c>
      <c r="E4" s="11">
        <v>205.4</v>
      </c>
      <c r="F4" s="8">
        <v>5</v>
      </c>
      <c r="G4" s="11">
        <v>119.6</v>
      </c>
      <c r="H4" s="8">
        <v>6</v>
      </c>
      <c r="I4" s="11">
        <v>78.2</v>
      </c>
      <c r="J4" s="8">
        <v>7</v>
      </c>
      <c r="K4" s="8">
        <v>55.1</v>
      </c>
      <c r="L4" s="8">
        <v>8</v>
      </c>
      <c r="M4" s="11">
        <v>40.9</v>
      </c>
      <c r="N4" s="8">
        <v>9</v>
      </c>
      <c r="O4" s="11">
        <v>31.5</v>
      </c>
      <c r="P4" s="8">
        <v>10</v>
      </c>
      <c r="Q4" s="11">
        <v>25.1</v>
      </c>
      <c r="R4" s="8">
        <v>11</v>
      </c>
      <c r="S4" s="11">
        <v>20.399999999999999</v>
      </c>
      <c r="T4" s="8">
        <v>12</v>
      </c>
      <c r="U4" s="11">
        <v>16.899999999999999</v>
      </c>
      <c r="V4" s="8">
        <v>13</v>
      </c>
      <c r="W4" s="11">
        <v>14.3</v>
      </c>
      <c r="X4" s="8">
        <v>14</v>
      </c>
      <c r="Y4" s="11">
        <v>12.2</v>
      </c>
      <c r="Z4" s="8">
        <v>15</v>
      </c>
      <c r="AA4" s="11">
        <v>10.5</v>
      </c>
      <c r="AB4" s="8">
        <v>16</v>
      </c>
      <c r="AC4" s="11">
        <v>9.1999999999999993</v>
      </c>
      <c r="AD4" s="8">
        <v>17</v>
      </c>
      <c r="AE4" s="11">
        <v>8.1</v>
      </c>
      <c r="AF4" s="8">
        <v>18</v>
      </c>
      <c r="AG4" s="11">
        <v>7.2</v>
      </c>
      <c r="AH4" s="8">
        <v>19</v>
      </c>
      <c r="AI4" s="11">
        <v>6.4</v>
      </c>
      <c r="AJ4" s="8">
        <v>20</v>
      </c>
      <c r="AK4" s="11">
        <v>5.8</v>
      </c>
      <c r="AL4" s="8">
        <v>21</v>
      </c>
      <c r="AM4" s="11">
        <v>5.2</v>
      </c>
      <c r="AN4" s="8">
        <v>22</v>
      </c>
      <c r="AO4" s="11">
        <v>4.7</v>
      </c>
      <c r="AP4" s="8">
        <v>23</v>
      </c>
      <c r="AQ4" s="11">
        <v>4.3</v>
      </c>
      <c r="AR4" s="8">
        <v>24</v>
      </c>
      <c r="AS4" s="8">
        <v>3.9</v>
      </c>
      <c r="AT4" s="8">
        <v>25</v>
      </c>
      <c r="AU4" s="11">
        <v>3.6</v>
      </c>
      <c r="AV4" s="8">
        <v>26</v>
      </c>
      <c r="AW4" s="11">
        <v>3.3</v>
      </c>
      <c r="AX4" s="8">
        <v>27</v>
      </c>
      <c r="AY4" s="11">
        <v>3.1</v>
      </c>
      <c r="AZ4" s="8">
        <v>28</v>
      </c>
      <c r="BA4" s="8">
        <v>2.9</v>
      </c>
      <c r="BB4" s="8">
        <v>29</v>
      </c>
      <c r="BC4" s="8">
        <v>2.7</v>
      </c>
      <c r="BD4" s="8">
        <v>30</v>
      </c>
      <c r="BE4" s="8">
        <v>2.5</v>
      </c>
    </row>
    <row r="5" spans="2:59" x14ac:dyDescent="0.2">
      <c r="B5" s="8">
        <v>4</v>
      </c>
      <c r="C5" s="11">
        <v>507.3</v>
      </c>
      <c r="D5" s="8">
        <v>5</v>
      </c>
      <c r="E5" s="11">
        <v>251.7</v>
      </c>
      <c r="F5" s="8">
        <v>6</v>
      </c>
      <c r="G5" s="11">
        <v>151.4</v>
      </c>
      <c r="H5" s="8">
        <v>7</v>
      </c>
      <c r="I5" s="11">
        <v>101.4</v>
      </c>
      <c r="J5" s="8">
        <v>8</v>
      </c>
      <c r="K5" s="8">
        <v>72.7</v>
      </c>
      <c r="L5" s="8">
        <v>9</v>
      </c>
      <c r="M5" s="11">
        <v>54.7</v>
      </c>
      <c r="N5" s="8">
        <v>10</v>
      </c>
      <c r="O5" s="11">
        <v>42.7</v>
      </c>
      <c r="P5" s="8">
        <v>11</v>
      </c>
      <c r="Q5" s="11">
        <v>34.299999999999997</v>
      </c>
      <c r="R5" s="8">
        <v>12</v>
      </c>
      <c r="S5" s="11">
        <v>28.1</v>
      </c>
      <c r="T5" s="8">
        <v>13</v>
      </c>
      <c r="U5" s="11">
        <v>23.5</v>
      </c>
      <c r="V5" s="8">
        <v>14</v>
      </c>
      <c r="W5" s="11">
        <v>19.899999999999999</v>
      </c>
      <c r="X5" s="8">
        <v>15</v>
      </c>
      <c r="Y5" s="11">
        <v>17.100000000000001</v>
      </c>
      <c r="Z5" s="8">
        <v>16</v>
      </c>
      <c r="AA5" s="11">
        <v>14.8</v>
      </c>
      <c r="AB5" s="8">
        <v>17</v>
      </c>
      <c r="AC5" s="11">
        <v>13</v>
      </c>
      <c r="AD5" s="8">
        <v>18</v>
      </c>
      <c r="AE5" s="11">
        <v>11.5</v>
      </c>
      <c r="AF5" s="8">
        <v>19</v>
      </c>
      <c r="AG5" s="11">
        <v>10.199999999999999</v>
      </c>
      <c r="AH5" s="8">
        <v>20</v>
      </c>
      <c r="AI5" s="11">
        <v>9.1</v>
      </c>
      <c r="AJ5" s="8">
        <v>21</v>
      </c>
      <c r="AK5" s="11">
        <v>8.1999999999999993</v>
      </c>
      <c r="AL5" s="8">
        <v>22</v>
      </c>
      <c r="AM5" s="11">
        <v>7.5</v>
      </c>
      <c r="AN5" s="8">
        <v>23</v>
      </c>
      <c r="AO5" s="11">
        <v>6.8</v>
      </c>
      <c r="AP5" s="8">
        <v>24</v>
      </c>
      <c r="AQ5" s="11">
        <v>6.2</v>
      </c>
      <c r="AR5" s="8">
        <v>25</v>
      </c>
      <c r="AS5" s="8">
        <v>5.7</v>
      </c>
      <c r="AT5" s="8">
        <v>26</v>
      </c>
      <c r="AU5" s="11">
        <v>5.2</v>
      </c>
      <c r="AV5" s="8">
        <v>27</v>
      </c>
      <c r="AW5" s="11">
        <v>4.8</v>
      </c>
      <c r="AX5" s="8">
        <v>28</v>
      </c>
      <c r="AY5" s="11">
        <v>4.5</v>
      </c>
      <c r="AZ5" s="8">
        <v>29</v>
      </c>
      <c r="BA5" s="8">
        <v>4.2</v>
      </c>
      <c r="BB5" s="8">
        <v>30</v>
      </c>
      <c r="BC5" s="8">
        <v>3.9</v>
      </c>
    </row>
    <row r="6" spans="2:59" x14ac:dyDescent="0.2">
      <c r="B6" s="8">
        <v>5</v>
      </c>
      <c r="C6" s="11">
        <v>553.6</v>
      </c>
      <c r="D6" s="8">
        <v>6</v>
      </c>
      <c r="E6" s="11">
        <v>283.5</v>
      </c>
      <c r="F6" s="8">
        <v>7</v>
      </c>
      <c r="G6" s="11">
        <v>174.6</v>
      </c>
      <c r="H6" s="8">
        <v>8</v>
      </c>
      <c r="I6" s="11">
        <v>119</v>
      </c>
      <c r="J6" s="8">
        <v>9</v>
      </c>
      <c r="K6" s="8">
        <v>86.6</v>
      </c>
      <c r="L6" s="8">
        <v>10</v>
      </c>
      <c r="M6" s="11">
        <v>65.900000000000006</v>
      </c>
      <c r="N6" s="8">
        <v>11</v>
      </c>
      <c r="O6" s="11">
        <v>51.9</v>
      </c>
      <c r="P6" s="8">
        <v>12</v>
      </c>
      <c r="Q6" s="11">
        <v>42</v>
      </c>
      <c r="R6" s="8">
        <v>13</v>
      </c>
      <c r="S6" s="11">
        <v>34.700000000000003</v>
      </c>
      <c r="T6" s="8">
        <v>14</v>
      </c>
      <c r="U6" s="11">
        <v>29.1</v>
      </c>
      <c r="V6" s="8">
        <v>15</v>
      </c>
      <c r="W6" s="11">
        <v>24.8</v>
      </c>
      <c r="X6" s="8">
        <v>16</v>
      </c>
      <c r="Y6" s="11">
        <v>21.4</v>
      </c>
      <c r="Z6" s="8">
        <v>17</v>
      </c>
      <c r="AA6" s="11">
        <v>18.600000000000001</v>
      </c>
      <c r="AB6" s="8">
        <v>18</v>
      </c>
      <c r="AC6" s="11">
        <v>16.399999999999999</v>
      </c>
      <c r="AD6" s="8">
        <v>19</v>
      </c>
      <c r="AE6" s="11">
        <v>14.5</v>
      </c>
      <c r="AF6" s="8">
        <v>20</v>
      </c>
      <c r="AG6" s="11">
        <v>12.9</v>
      </c>
      <c r="AH6" s="8">
        <v>21</v>
      </c>
      <c r="AI6" s="11">
        <v>11.6</v>
      </c>
      <c r="AJ6" s="8">
        <v>22</v>
      </c>
      <c r="AK6" s="11">
        <v>10.5</v>
      </c>
      <c r="AL6" s="8">
        <v>23</v>
      </c>
      <c r="AM6" s="11">
        <v>9.5</v>
      </c>
      <c r="AN6" s="8">
        <v>24</v>
      </c>
      <c r="AO6" s="11">
        <v>8.6999999999999993</v>
      </c>
      <c r="AP6" s="8">
        <v>25</v>
      </c>
      <c r="AQ6" s="11">
        <v>7.9</v>
      </c>
      <c r="AR6" s="8">
        <v>26</v>
      </c>
      <c r="AS6" s="8">
        <v>7.3</v>
      </c>
      <c r="AT6" s="8">
        <v>27</v>
      </c>
      <c r="AU6" s="11">
        <v>6.7</v>
      </c>
      <c r="AV6" s="8">
        <v>28</v>
      </c>
      <c r="AW6" s="11">
        <v>6.2</v>
      </c>
      <c r="AX6" s="8">
        <v>29</v>
      </c>
      <c r="AY6" s="11">
        <v>5.8</v>
      </c>
      <c r="AZ6" s="8">
        <v>30</v>
      </c>
      <c r="BA6" s="8">
        <v>5.4</v>
      </c>
    </row>
    <row r="7" spans="2:59" x14ac:dyDescent="0.2">
      <c r="B7" s="8">
        <v>6</v>
      </c>
      <c r="C7" s="11">
        <v>585.4</v>
      </c>
      <c r="D7" s="8">
        <v>7</v>
      </c>
      <c r="E7" s="11">
        <v>306.7</v>
      </c>
      <c r="F7" s="8">
        <v>8</v>
      </c>
      <c r="G7" s="11">
        <v>192.3</v>
      </c>
      <c r="H7" s="8">
        <v>9</v>
      </c>
      <c r="I7" s="11">
        <v>132.9</v>
      </c>
      <c r="J7" s="8">
        <v>10</v>
      </c>
      <c r="K7" s="8">
        <v>97.8</v>
      </c>
      <c r="L7" s="8">
        <v>11</v>
      </c>
      <c r="M7" s="11">
        <v>75.099999999999994</v>
      </c>
      <c r="N7" s="8">
        <v>12</v>
      </c>
      <c r="O7" s="11">
        <v>59.6</v>
      </c>
      <c r="P7" s="8">
        <v>13</v>
      </c>
      <c r="Q7" s="11">
        <v>48.5</v>
      </c>
      <c r="R7" s="8">
        <v>14</v>
      </c>
      <c r="S7" s="11">
        <v>40.299999999999997</v>
      </c>
      <c r="T7" s="8">
        <v>15</v>
      </c>
      <c r="U7" s="11">
        <v>34</v>
      </c>
      <c r="V7" s="8">
        <v>16</v>
      </c>
      <c r="W7" s="11">
        <v>29.1</v>
      </c>
      <c r="X7" s="8">
        <v>17</v>
      </c>
      <c r="Y7" s="11">
        <v>25.2</v>
      </c>
      <c r="Z7" s="8">
        <v>18</v>
      </c>
      <c r="AA7" s="11">
        <v>22</v>
      </c>
      <c r="AB7" s="8">
        <v>19</v>
      </c>
      <c r="AC7" s="11">
        <v>19.399999999999999</v>
      </c>
      <c r="AD7" s="8">
        <v>20</v>
      </c>
      <c r="AE7" s="11">
        <v>17.2</v>
      </c>
      <c r="AF7" s="8">
        <v>21</v>
      </c>
      <c r="AG7" s="11">
        <v>15.4</v>
      </c>
      <c r="AH7" s="8">
        <v>22</v>
      </c>
      <c r="AI7" s="11">
        <v>13.9</v>
      </c>
      <c r="AJ7" s="8">
        <v>23</v>
      </c>
      <c r="AK7" s="11">
        <v>12.5</v>
      </c>
      <c r="AL7" s="8">
        <v>24</v>
      </c>
      <c r="AM7" s="11">
        <v>11.4</v>
      </c>
      <c r="AN7" s="8">
        <v>25</v>
      </c>
      <c r="AO7" s="11">
        <v>10.4</v>
      </c>
      <c r="AP7" s="8">
        <v>26</v>
      </c>
      <c r="AQ7" s="11">
        <v>9.5</v>
      </c>
      <c r="AR7" s="8">
        <v>27</v>
      </c>
      <c r="AS7" s="8">
        <v>8.8000000000000007</v>
      </c>
      <c r="AT7" s="8">
        <v>28</v>
      </c>
      <c r="AU7" s="11">
        <v>8.1</v>
      </c>
      <c r="AV7" s="8">
        <v>29</v>
      </c>
      <c r="AW7" s="11">
        <v>7.5</v>
      </c>
      <c r="AX7" s="8">
        <v>30</v>
      </c>
      <c r="AY7" s="11">
        <v>7</v>
      </c>
    </row>
    <row r="8" spans="2:59" x14ac:dyDescent="0.2">
      <c r="B8" s="8">
        <v>7</v>
      </c>
      <c r="C8" s="11">
        <v>608.6</v>
      </c>
      <c r="D8" s="8">
        <v>8</v>
      </c>
      <c r="E8" s="11">
        <v>324.39999999999998</v>
      </c>
      <c r="F8" s="8">
        <v>9</v>
      </c>
      <c r="G8" s="11">
        <v>206.2</v>
      </c>
      <c r="H8" s="8">
        <v>10</v>
      </c>
      <c r="I8" s="11">
        <v>144.1</v>
      </c>
      <c r="J8" s="8">
        <v>11</v>
      </c>
      <c r="K8" s="11">
        <v>107</v>
      </c>
      <c r="L8" s="8">
        <v>12</v>
      </c>
      <c r="M8" s="11">
        <v>82.9</v>
      </c>
      <c r="N8" s="8">
        <v>13</v>
      </c>
      <c r="O8" s="11">
        <v>66.2</v>
      </c>
      <c r="P8" s="8">
        <v>14</v>
      </c>
      <c r="Q8" s="11">
        <v>54.2</v>
      </c>
      <c r="R8" s="8">
        <v>15</v>
      </c>
      <c r="S8" s="11">
        <v>45.2</v>
      </c>
      <c r="T8" s="8">
        <v>16</v>
      </c>
      <c r="U8" s="11">
        <v>38.299999999999997</v>
      </c>
      <c r="V8" s="8">
        <v>17</v>
      </c>
      <c r="W8" s="11">
        <v>32.9</v>
      </c>
      <c r="X8" s="8">
        <v>18</v>
      </c>
      <c r="Y8" s="11">
        <v>28.5</v>
      </c>
      <c r="Z8" s="8">
        <v>19</v>
      </c>
      <c r="AA8" s="11">
        <v>25</v>
      </c>
      <c r="AB8" s="8">
        <v>20</v>
      </c>
      <c r="AC8" s="11">
        <v>22.1</v>
      </c>
      <c r="AD8" s="8">
        <v>21</v>
      </c>
      <c r="AE8" s="11">
        <v>19.7</v>
      </c>
      <c r="AF8" s="8">
        <v>22</v>
      </c>
      <c r="AG8" s="11">
        <v>17.7</v>
      </c>
      <c r="AH8" s="8">
        <v>23</v>
      </c>
      <c r="AI8" s="11">
        <v>15.9</v>
      </c>
      <c r="AJ8" s="8">
        <v>24</v>
      </c>
      <c r="AK8" s="11">
        <v>14.4</v>
      </c>
      <c r="AL8" s="8">
        <v>25</v>
      </c>
      <c r="AM8" s="11">
        <v>13.1</v>
      </c>
      <c r="AN8" s="8">
        <v>26</v>
      </c>
      <c r="AO8" s="11">
        <v>12</v>
      </c>
      <c r="AP8" s="8">
        <v>27</v>
      </c>
      <c r="AQ8" s="11">
        <v>11</v>
      </c>
      <c r="AR8" s="8">
        <v>28</v>
      </c>
      <c r="AS8" s="8">
        <v>10.1</v>
      </c>
      <c r="AT8" s="8">
        <v>29</v>
      </c>
      <c r="AU8" s="11">
        <v>9.4</v>
      </c>
      <c r="AV8" s="8">
        <v>30</v>
      </c>
      <c r="AW8" s="11">
        <v>8.6999999999999993</v>
      </c>
    </row>
    <row r="9" spans="2:59" x14ac:dyDescent="0.2">
      <c r="B9" s="8">
        <v>8</v>
      </c>
      <c r="C9" s="11">
        <v>626.29999999999995</v>
      </c>
      <c r="D9" s="8">
        <v>9</v>
      </c>
      <c r="E9" s="11">
        <v>338.3</v>
      </c>
      <c r="F9" s="8">
        <v>10</v>
      </c>
      <c r="G9" s="11">
        <v>217.3</v>
      </c>
      <c r="H9" s="8">
        <v>11</v>
      </c>
      <c r="I9" s="11">
        <v>153.30000000000001</v>
      </c>
      <c r="J9" s="8">
        <v>12</v>
      </c>
      <c r="K9" s="8">
        <v>114.7</v>
      </c>
      <c r="L9" s="8">
        <v>13</v>
      </c>
      <c r="M9" s="11">
        <v>89.4</v>
      </c>
      <c r="N9" s="8">
        <v>14</v>
      </c>
      <c r="O9" s="11">
        <v>71.8</v>
      </c>
      <c r="P9" s="8">
        <v>15</v>
      </c>
      <c r="Q9" s="11">
        <v>59.1</v>
      </c>
      <c r="R9" s="8">
        <v>16</v>
      </c>
      <c r="S9" s="11">
        <v>49.5</v>
      </c>
      <c r="T9" s="8">
        <v>17</v>
      </c>
      <c r="U9" s="11">
        <v>42.1</v>
      </c>
      <c r="V9" s="8">
        <v>18</v>
      </c>
      <c r="W9" s="11">
        <v>36.299999999999997</v>
      </c>
      <c r="X9" s="8">
        <v>19</v>
      </c>
      <c r="Y9" s="11">
        <v>31.6</v>
      </c>
      <c r="Z9" s="8">
        <v>20</v>
      </c>
      <c r="AA9" s="11">
        <v>27.7</v>
      </c>
      <c r="AB9" s="8">
        <v>21</v>
      </c>
      <c r="AC9" s="11">
        <v>24.6</v>
      </c>
      <c r="AD9" s="8">
        <v>22</v>
      </c>
      <c r="AE9" s="11">
        <v>21.9</v>
      </c>
      <c r="AF9" s="8">
        <v>23</v>
      </c>
      <c r="AG9" s="11">
        <v>19.7</v>
      </c>
      <c r="AH9" s="8">
        <v>24</v>
      </c>
      <c r="AI9" s="11">
        <v>17.8</v>
      </c>
      <c r="AJ9" s="8">
        <v>25</v>
      </c>
      <c r="AK9" s="11">
        <v>16.2</v>
      </c>
      <c r="AL9" s="8">
        <v>26</v>
      </c>
      <c r="AM9" s="11">
        <v>14.7</v>
      </c>
      <c r="AN9" s="8">
        <v>27</v>
      </c>
      <c r="AO9" s="11">
        <v>13.5</v>
      </c>
      <c r="AP9" s="8">
        <v>28</v>
      </c>
      <c r="AQ9" s="11">
        <v>12.4</v>
      </c>
      <c r="AR9" s="8">
        <v>29</v>
      </c>
      <c r="AS9" s="8">
        <v>11.4</v>
      </c>
      <c r="AT9" s="8">
        <v>30</v>
      </c>
      <c r="AU9" s="11">
        <v>10.6</v>
      </c>
    </row>
    <row r="10" spans="2:59" x14ac:dyDescent="0.2">
      <c r="B10" s="8">
        <v>9</v>
      </c>
      <c r="C10" s="11">
        <v>640.20000000000005</v>
      </c>
      <c r="D10" s="8">
        <v>10</v>
      </c>
      <c r="E10" s="11">
        <v>349.5</v>
      </c>
      <c r="F10" s="8">
        <v>11</v>
      </c>
      <c r="G10" s="11">
        <v>226.5</v>
      </c>
      <c r="H10" s="8">
        <v>12</v>
      </c>
      <c r="I10" s="11">
        <v>161</v>
      </c>
      <c r="J10" s="8">
        <v>13</v>
      </c>
      <c r="K10" s="8">
        <v>121.3</v>
      </c>
      <c r="L10" s="8">
        <v>14</v>
      </c>
      <c r="M10" s="11">
        <v>95</v>
      </c>
      <c r="N10" s="8">
        <v>15</v>
      </c>
      <c r="O10" s="11">
        <v>76.7</v>
      </c>
      <c r="P10" s="8">
        <v>16</v>
      </c>
      <c r="Q10" s="11">
        <v>63.3</v>
      </c>
      <c r="R10" s="8">
        <v>17</v>
      </c>
      <c r="S10" s="11">
        <v>53.3</v>
      </c>
      <c r="T10" s="8">
        <v>18</v>
      </c>
      <c r="U10" s="11">
        <v>45.5</v>
      </c>
      <c r="V10" s="8">
        <v>19</v>
      </c>
      <c r="W10" s="11">
        <v>39.299999999999997</v>
      </c>
      <c r="X10" s="8">
        <v>20</v>
      </c>
      <c r="Y10" s="11">
        <v>34.299999999999997</v>
      </c>
      <c r="Z10" s="8">
        <v>21</v>
      </c>
      <c r="AA10" s="11">
        <v>30.2</v>
      </c>
      <c r="AB10" s="8">
        <v>22</v>
      </c>
      <c r="AC10" s="11">
        <v>26.8</v>
      </c>
      <c r="AD10" s="8">
        <v>23</v>
      </c>
      <c r="AE10" s="11">
        <v>24</v>
      </c>
      <c r="AF10" s="8">
        <v>24</v>
      </c>
      <c r="AG10" s="11">
        <v>21.6</v>
      </c>
      <c r="AH10" s="8">
        <v>25</v>
      </c>
      <c r="AI10" s="11">
        <v>19.5</v>
      </c>
      <c r="AJ10" s="8">
        <v>26</v>
      </c>
      <c r="AK10" s="11">
        <v>17.8</v>
      </c>
      <c r="AL10" s="8">
        <v>27</v>
      </c>
      <c r="AM10" s="11">
        <v>16.2</v>
      </c>
      <c r="AN10" s="8">
        <v>28</v>
      </c>
      <c r="AO10" s="11">
        <v>14.9</v>
      </c>
      <c r="AP10" s="8">
        <v>29</v>
      </c>
      <c r="AQ10" s="11">
        <v>13.7</v>
      </c>
      <c r="AR10" s="8">
        <v>30</v>
      </c>
      <c r="AS10" s="8">
        <v>12.6</v>
      </c>
    </row>
    <row r="11" spans="2:59" x14ac:dyDescent="0.2">
      <c r="B11" s="8">
        <v>10</v>
      </c>
      <c r="C11" s="11">
        <v>651.4</v>
      </c>
      <c r="D11" s="8">
        <v>11</v>
      </c>
      <c r="E11" s="11">
        <v>358.7</v>
      </c>
      <c r="F11" s="8">
        <v>12</v>
      </c>
      <c r="G11" s="11">
        <v>234.3</v>
      </c>
      <c r="H11" s="8">
        <v>13</v>
      </c>
      <c r="I11" s="11">
        <v>167.6</v>
      </c>
      <c r="J11" s="8">
        <v>14</v>
      </c>
      <c r="K11" s="8">
        <v>126.9</v>
      </c>
      <c r="L11" s="8">
        <v>15</v>
      </c>
      <c r="M11" s="11">
        <v>99.9</v>
      </c>
      <c r="N11" s="8">
        <v>16</v>
      </c>
      <c r="O11" s="11">
        <v>81</v>
      </c>
      <c r="P11" s="8">
        <v>17</v>
      </c>
      <c r="Q11" s="11">
        <v>67.099999999999994</v>
      </c>
      <c r="R11" s="8">
        <v>18</v>
      </c>
      <c r="S11" s="11">
        <v>56.6</v>
      </c>
      <c r="T11" s="8">
        <v>19</v>
      </c>
      <c r="U11" s="11">
        <v>48.5</v>
      </c>
      <c r="V11" s="8">
        <v>20</v>
      </c>
      <c r="W11" s="11">
        <v>42</v>
      </c>
      <c r="X11" s="8">
        <v>21</v>
      </c>
      <c r="Y11" s="11">
        <v>36.799999999999997</v>
      </c>
      <c r="Z11" s="8">
        <v>22</v>
      </c>
      <c r="AA11" s="11">
        <v>32.5</v>
      </c>
      <c r="AB11" s="8">
        <v>23</v>
      </c>
      <c r="AC11" s="11">
        <v>28.9</v>
      </c>
      <c r="AD11" s="8">
        <v>24</v>
      </c>
      <c r="AE11" s="11">
        <v>25.9</v>
      </c>
      <c r="AF11" s="8">
        <v>25</v>
      </c>
      <c r="AG11" s="11">
        <v>23.3</v>
      </c>
      <c r="AH11" s="8">
        <v>26</v>
      </c>
      <c r="AI11" s="11">
        <v>21.1</v>
      </c>
      <c r="AJ11" s="8">
        <v>27</v>
      </c>
      <c r="AK11" s="11">
        <v>19.2</v>
      </c>
      <c r="AL11" s="8">
        <v>28</v>
      </c>
      <c r="AM11" s="11">
        <v>17.600000000000001</v>
      </c>
      <c r="AN11" s="8">
        <v>29</v>
      </c>
      <c r="AO11" s="11">
        <v>16.2</v>
      </c>
      <c r="AP11" s="8">
        <v>30</v>
      </c>
      <c r="AQ11" s="11">
        <v>14.9</v>
      </c>
    </row>
    <row r="12" spans="2:59" x14ac:dyDescent="0.2">
      <c r="B12" s="8">
        <v>11</v>
      </c>
      <c r="C12" s="11">
        <v>660.6</v>
      </c>
      <c r="D12" s="8">
        <v>12</v>
      </c>
      <c r="E12" s="11">
        <v>366.4</v>
      </c>
      <c r="F12" s="8">
        <v>13</v>
      </c>
      <c r="G12" s="11">
        <v>240.8</v>
      </c>
      <c r="H12" s="8">
        <v>14</v>
      </c>
      <c r="I12" s="11">
        <v>173.2</v>
      </c>
      <c r="J12" s="8">
        <v>15</v>
      </c>
      <c r="K12" s="8">
        <v>131.80000000000001</v>
      </c>
      <c r="L12" s="8">
        <v>16</v>
      </c>
      <c r="M12" s="11">
        <v>104.2</v>
      </c>
      <c r="N12" s="8">
        <v>17</v>
      </c>
      <c r="O12" s="11">
        <v>84.8</v>
      </c>
      <c r="P12" s="8">
        <v>18</v>
      </c>
      <c r="Q12" s="11">
        <v>70.5</v>
      </c>
      <c r="R12" s="8">
        <v>19</v>
      </c>
      <c r="S12" s="11">
        <v>59.7</v>
      </c>
      <c r="T12" s="8">
        <v>20</v>
      </c>
      <c r="U12" s="11">
        <v>51.2</v>
      </c>
      <c r="V12" s="8">
        <v>21</v>
      </c>
      <c r="W12" s="11">
        <v>44.5</v>
      </c>
      <c r="X12" s="8">
        <v>22</v>
      </c>
      <c r="Y12" s="11">
        <v>39</v>
      </c>
      <c r="Z12" s="8">
        <v>23</v>
      </c>
      <c r="AA12" s="11">
        <v>34.5</v>
      </c>
      <c r="AB12" s="8">
        <v>24</v>
      </c>
      <c r="AC12" s="11">
        <v>30.8</v>
      </c>
      <c r="AD12" s="8">
        <v>25</v>
      </c>
      <c r="AE12" s="11">
        <v>27.6</v>
      </c>
      <c r="AF12" s="8">
        <v>26</v>
      </c>
      <c r="AG12" s="11">
        <v>24.9</v>
      </c>
      <c r="AH12" s="8">
        <v>27</v>
      </c>
      <c r="AI12" s="11">
        <v>22.6</v>
      </c>
      <c r="AJ12" s="8">
        <v>28</v>
      </c>
      <c r="AK12" s="11">
        <v>20.6</v>
      </c>
      <c r="AL12" s="8">
        <v>29</v>
      </c>
      <c r="AM12" s="11">
        <v>18.899999999999999</v>
      </c>
      <c r="AN12" s="8">
        <v>30</v>
      </c>
      <c r="AO12" s="11">
        <v>17.399999999999999</v>
      </c>
    </row>
    <row r="13" spans="2:59" x14ac:dyDescent="0.2">
      <c r="B13" s="8">
        <v>12</v>
      </c>
      <c r="C13" s="11">
        <v>668.3</v>
      </c>
      <c r="D13" s="8">
        <v>13</v>
      </c>
      <c r="E13" s="11">
        <v>372.9</v>
      </c>
      <c r="F13" s="8">
        <v>14</v>
      </c>
      <c r="G13" s="11">
        <v>246.4</v>
      </c>
      <c r="H13" s="8">
        <v>15</v>
      </c>
      <c r="I13" s="11">
        <v>178.1</v>
      </c>
      <c r="J13" s="8">
        <v>16</v>
      </c>
      <c r="K13" s="8">
        <v>136.1</v>
      </c>
      <c r="L13" s="8">
        <v>17</v>
      </c>
      <c r="M13" s="11">
        <v>108</v>
      </c>
      <c r="N13" s="8">
        <v>18</v>
      </c>
      <c r="O13" s="11">
        <v>88.2</v>
      </c>
      <c r="P13" s="8">
        <v>19</v>
      </c>
      <c r="Q13" s="11">
        <v>73.5</v>
      </c>
      <c r="R13" s="8">
        <v>20</v>
      </c>
      <c r="S13" s="11">
        <v>62.4</v>
      </c>
      <c r="T13" s="8">
        <v>21</v>
      </c>
      <c r="U13" s="11">
        <v>53.7</v>
      </c>
      <c r="V13" s="8">
        <v>22</v>
      </c>
      <c r="W13" s="11">
        <v>46.7</v>
      </c>
      <c r="X13" s="8">
        <v>23</v>
      </c>
      <c r="Y13" s="11">
        <v>41.1</v>
      </c>
      <c r="Z13" s="8">
        <v>24</v>
      </c>
      <c r="AA13" s="11">
        <v>36.4</v>
      </c>
      <c r="AB13" s="8">
        <v>25</v>
      </c>
      <c r="AC13" s="11">
        <v>32.5</v>
      </c>
      <c r="AD13" s="8">
        <v>26</v>
      </c>
      <c r="AE13" s="11">
        <v>29.2</v>
      </c>
      <c r="AF13" s="8">
        <v>27</v>
      </c>
      <c r="AG13" s="11">
        <v>26.4</v>
      </c>
      <c r="AH13" s="8">
        <v>28</v>
      </c>
      <c r="AI13" s="11">
        <v>24</v>
      </c>
      <c r="AJ13" s="8">
        <v>29</v>
      </c>
      <c r="AK13" s="11">
        <v>21.9</v>
      </c>
      <c r="AL13" s="8">
        <v>30</v>
      </c>
      <c r="AM13" s="11">
        <v>20.100000000000001</v>
      </c>
    </row>
    <row r="14" spans="2:59" x14ac:dyDescent="0.2">
      <c r="B14" s="8">
        <v>13</v>
      </c>
      <c r="C14" s="11">
        <v>674.8</v>
      </c>
      <c r="D14" s="8">
        <v>14</v>
      </c>
      <c r="E14" s="11">
        <v>378.6</v>
      </c>
      <c r="F14" s="8">
        <v>15</v>
      </c>
      <c r="G14" s="11">
        <v>251.3</v>
      </c>
      <c r="H14" s="8">
        <v>16</v>
      </c>
      <c r="I14" s="11">
        <v>182.4</v>
      </c>
      <c r="J14" s="8">
        <v>17</v>
      </c>
      <c r="K14" s="8">
        <v>139.9</v>
      </c>
      <c r="L14" s="8">
        <v>18</v>
      </c>
      <c r="M14" s="11">
        <v>111.4</v>
      </c>
      <c r="N14" s="8">
        <v>19</v>
      </c>
      <c r="O14" s="11">
        <v>91.2</v>
      </c>
      <c r="P14" s="8">
        <v>20</v>
      </c>
      <c r="Q14" s="11">
        <v>76.3</v>
      </c>
      <c r="R14" s="8">
        <v>21</v>
      </c>
      <c r="S14" s="11">
        <v>64.900000000000006</v>
      </c>
      <c r="T14" s="8">
        <v>22</v>
      </c>
      <c r="U14" s="11">
        <v>55.9</v>
      </c>
      <c r="V14" s="8">
        <v>23</v>
      </c>
      <c r="W14" s="11">
        <v>48.8</v>
      </c>
      <c r="X14" s="8">
        <v>24</v>
      </c>
      <c r="Y14" s="11">
        <v>43</v>
      </c>
      <c r="Z14" s="8">
        <v>25</v>
      </c>
      <c r="AA14" s="11">
        <v>38.1</v>
      </c>
      <c r="AB14" s="8">
        <v>26</v>
      </c>
      <c r="AC14" s="11">
        <v>34.1</v>
      </c>
      <c r="AD14" s="8">
        <v>27</v>
      </c>
      <c r="AE14" s="11">
        <v>30.7</v>
      </c>
      <c r="AF14" s="8">
        <v>28</v>
      </c>
      <c r="AG14" s="11">
        <v>27.8</v>
      </c>
      <c r="AH14" s="8">
        <v>29</v>
      </c>
      <c r="AI14" s="11">
        <v>25.3</v>
      </c>
      <c r="AJ14" s="8">
        <v>30</v>
      </c>
      <c r="AK14" s="11">
        <v>23.1</v>
      </c>
    </row>
    <row r="15" spans="2:59" x14ac:dyDescent="0.2">
      <c r="B15" s="8">
        <v>14</v>
      </c>
      <c r="C15" s="11">
        <v>680.5</v>
      </c>
      <c r="D15" s="8">
        <v>15</v>
      </c>
      <c r="E15" s="11">
        <v>383.4</v>
      </c>
      <c r="F15" s="8">
        <v>16</v>
      </c>
      <c r="G15" s="11">
        <v>255.6</v>
      </c>
      <c r="H15" s="8">
        <v>17</v>
      </c>
      <c r="I15" s="11">
        <v>186.2</v>
      </c>
      <c r="J15" s="8">
        <v>18</v>
      </c>
      <c r="K15" s="8">
        <v>143.19999999999999</v>
      </c>
      <c r="L15" s="8">
        <v>19</v>
      </c>
      <c r="M15" s="11">
        <v>114.4</v>
      </c>
      <c r="N15" s="8">
        <v>20</v>
      </c>
      <c r="O15" s="11">
        <v>93.9</v>
      </c>
      <c r="P15" s="8">
        <v>21</v>
      </c>
      <c r="Q15" s="11">
        <v>78.7</v>
      </c>
      <c r="R15" s="8">
        <v>22</v>
      </c>
      <c r="S15" s="11">
        <v>67.099999999999994</v>
      </c>
      <c r="T15" s="8">
        <v>23</v>
      </c>
      <c r="U15" s="11">
        <v>58</v>
      </c>
      <c r="V15" s="8">
        <v>24</v>
      </c>
      <c r="W15" s="11">
        <v>50.7</v>
      </c>
      <c r="X15" s="8">
        <v>25</v>
      </c>
      <c r="Y15" s="11">
        <v>44.7</v>
      </c>
      <c r="Z15" s="8">
        <v>26</v>
      </c>
      <c r="AA15" s="11">
        <v>39.799999999999997</v>
      </c>
      <c r="AB15" s="8">
        <v>27</v>
      </c>
      <c r="AC15" s="11">
        <v>35.6</v>
      </c>
      <c r="AD15" s="8">
        <v>28</v>
      </c>
      <c r="AE15" s="11">
        <v>32.1</v>
      </c>
      <c r="AF15" s="8">
        <v>29</v>
      </c>
      <c r="AG15" s="11">
        <v>29.1</v>
      </c>
      <c r="AH15" s="8">
        <v>30</v>
      </c>
      <c r="AI15" s="11">
        <v>26.5</v>
      </c>
    </row>
    <row r="16" spans="2:59" x14ac:dyDescent="0.2">
      <c r="B16" s="8">
        <v>15</v>
      </c>
      <c r="C16" s="11">
        <v>685.4</v>
      </c>
      <c r="D16" s="8">
        <v>16</v>
      </c>
      <c r="E16" s="11">
        <v>387.7</v>
      </c>
      <c r="F16" s="8">
        <v>17</v>
      </c>
      <c r="G16" s="11">
        <v>259.39999999999998</v>
      </c>
      <c r="H16" s="8">
        <v>18</v>
      </c>
      <c r="I16" s="11">
        <v>189.6</v>
      </c>
      <c r="J16" s="8">
        <v>19</v>
      </c>
      <c r="K16" s="8">
        <v>146.30000000000001</v>
      </c>
      <c r="L16" s="8">
        <v>20</v>
      </c>
      <c r="M16" s="11">
        <v>117.2</v>
      </c>
      <c r="N16" s="8">
        <v>21</v>
      </c>
      <c r="O16" s="11">
        <v>96.4</v>
      </c>
      <c r="P16" s="8">
        <v>22</v>
      </c>
      <c r="Q16" s="11">
        <v>81</v>
      </c>
      <c r="R16" s="8">
        <v>23</v>
      </c>
      <c r="S16" s="11">
        <v>69.2</v>
      </c>
      <c r="T16" s="8">
        <v>24</v>
      </c>
      <c r="U16" s="11">
        <v>59.9</v>
      </c>
      <c r="V16" s="8">
        <v>25</v>
      </c>
      <c r="W16" s="11">
        <v>52.4</v>
      </c>
      <c r="X16" s="8">
        <v>26</v>
      </c>
      <c r="Y16" s="11">
        <v>46.3</v>
      </c>
      <c r="Z16" s="8">
        <v>27</v>
      </c>
      <c r="AA16" s="11">
        <v>41.2</v>
      </c>
      <c r="AB16" s="8">
        <v>28</v>
      </c>
      <c r="AC16" s="11">
        <v>37</v>
      </c>
      <c r="AD16" s="8">
        <v>29</v>
      </c>
      <c r="AE16" s="11">
        <v>33.4</v>
      </c>
      <c r="AF16" s="8">
        <v>30</v>
      </c>
      <c r="AG16" s="11">
        <v>30.3</v>
      </c>
    </row>
    <row r="17" spans="2:31" x14ac:dyDescent="0.2">
      <c r="B17" s="8">
        <v>16</v>
      </c>
      <c r="C17" s="11">
        <v>689.7</v>
      </c>
      <c r="D17" s="8">
        <v>17</v>
      </c>
      <c r="E17" s="11">
        <v>391.5</v>
      </c>
      <c r="F17" s="8">
        <v>18</v>
      </c>
      <c r="G17" s="11">
        <v>262.8</v>
      </c>
      <c r="H17" s="8">
        <v>19</v>
      </c>
      <c r="I17" s="11">
        <v>192.6</v>
      </c>
      <c r="J17" s="8">
        <v>20</v>
      </c>
      <c r="K17" s="9">
        <v>149</v>
      </c>
      <c r="L17" s="8">
        <v>21</v>
      </c>
      <c r="M17" s="11">
        <v>119.6</v>
      </c>
      <c r="N17" s="8">
        <v>22</v>
      </c>
      <c r="O17" s="11">
        <v>98.7</v>
      </c>
      <c r="P17" s="8">
        <v>23</v>
      </c>
      <c r="Q17" s="11">
        <v>83.1</v>
      </c>
      <c r="R17" s="8">
        <v>24</v>
      </c>
      <c r="S17" s="11">
        <v>71.099999999999994</v>
      </c>
      <c r="T17" s="8">
        <v>25</v>
      </c>
      <c r="U17" s="11">
        <v>61.6</v>
      </c>
      <c r="V17" s="8">
        <v>26</v>
      </c>
      <c r="W17" s="11">
        <v>54</v>
      </c>
      <c r="X17" s="8">
        <v>27</v>
      </c>
      <c r="Y17" s="11">
        <v>47.8</v>
      </c>
      <c r="Z17" s="8">
        <v>28</v>
      </c>
      <c r="AA17" s="11">
        <v>42.6</v>
      </c>
      <c r="AB17" s="8">
        <v>29</v>
      </c>
      <c r="AC17" s="11">
        <v>38.299999999999997</v>
      </c>
      <c r="AD17" s="8">
        <v>30</v>
      </c>
      <c r="AE17" s="11">
        <v>34.6</v>
      </c>
    </row>
    <row r="18" spans="2:31" x14ac:dyDescent="0.2">
      <c r="B18" s="8">
        <v>17</v>
      </c>
      <c r="C18" s="11">
        <v>693.4</v>
      </c>
      <c r="D18" s="8">
        <v>18</v>
      </c>
      <c r="E18" s="11">
        <v>394.9</v>
      </c>
      <c r="F18" s="8">
        <v>19</v>
      </c>
      <c r="G18" s="11">
        <v>265.8</v>
      </c>
      <c r="H18" s="8">
        <v>20</v>
      </c>
      <c r="I18" s="11">
        <v>195.3</v>
      </c>
      <c r="J18" s="8">
        <v>21</v>
      </c>
      <c r="K18" s="8">
        <v>151.5</v>
      </c>
      <c r="L18" s="8">
        <v>22</v>
      </c>
      <c r="M18" s="11">
        <v>121.9</v>
      </c>
      <c r="N18" s="8">
        <v>23</v>
      </c>
      <c r="O18" s="11">
        <v>100.7</v>
      </c>
      <c r="P18" s="8">
        <v>24</v>
      </c>
      <c r="Q18" s="11">
        <v>84.9</v>
      </c>
      <c r="R18" s="8">
        <v>25</v>
      </c>
      <c r="S18" s="11">
        <v>72.8</v>
      </c>
      <c r="T18" s="8">
        <v>26</v>
      </c>
      <c r="U18" s="11">
        <v>63.2</v>
      </c>
      <c r="V18" s="8">
        <v>27</v>
      </c>
      <c r="W18" s="11">
        <v>55.5</v>
      </c>
      <c r="X18" s="8">
        <v>28</v>
      </c>
      <c r="Y18" s="11">
        <v>49.2</v>
      </c>
      <c r="Z18" s="8">
        <v>29</v>
      </c>
      <c r="AA18" s="11">
        <v>43.9</v>
      </c>
      <c r="AB18" s="8">
        <v>30</v>
      </c>
      <c r="AC18" s="11">
        <v>39.5</v>
      </c>
    </row>
    <row r="19" spans="2:31" x14ac:dyDescent="0.2">
      <c r="B19" s="8">
        <v>18</v>
      </c>
      <c r="C19" s="11">
        <v>696.8</v>
      </c>
      <c r="D19" s="8">
        <v>19</v>
      </c>
      <c r="E19" s="11">
        <v>397.9</v>
      </c>
      <c r="F19" s="8">
        <v>20</v>
      </c>
      <c r="G19" s="11">
        <v>268.60000000000002</v>
      </c>
      <c r="H19" s="8">
        <v>21</v>
      </c>
      <c r="I19" s="11">
        <v>197.8</v>
      </c>
      <c r="J19" s="8">
        <v>22</v>
      </c>
      <c r="K19" s="8">
        <v>153.69999999999999</v>
      </c>
      <c r="L19" s="8">
        <v>23</v>
      </c>
      <c r="M19" s="11">
        <v>123.9</v>
      </c>
      <c r="N19" s="8">
        <v>24</v>
      </c>
      <c r="O19" s="11">
        <v>102.6</v>
      </c>
      <c r="P19" s="8">
        <v>25</v>
      </c>
      <c r="Q19" s="11">
        <v>86.7</v>
      </c>
      <c r="R19" s="8">
        <v>26</v>
      </c>
      <c r="S19" s="11">
        <v>74.400000000000006</v>
      </c>
      <c r="T19" s="8">
        <v>27</v>
      </c>
      <c r="U19" s="11">
        <v>64.7</v>
      </c>
      <c r="V19" s="8">
        <v>28</v>
      </c>
      <c r="W19" s="11">
        <v>56.9</v>
      </c>
      <c r="X19" s="8">
        <v>29</v>
      </c>
      <c r="Y19" s="11">
        <v>50.5</v>
      </c>
      <c r="Z19" s="8">
        <v>30</v>
      </c>
      <c r="AA19" s="11">
        <v>45.1</v>
      </c>
    </row>
    <row r="20" spans="2:31" x14ac:dyDescent="0.2">
      <c r="B20" s="8">
        <v>19</v>
      </c>
      <c r="C20" s="11">
        <v>699.9</v>
      </c>
      <c r="D20" s="8">
        <v>20</v>
      </c>
      <c r="E20" s="11">
        <v>400.7</v>
      </c>
      <c r="F20" s="8">
        <v>21</v>
      </c>
      <c r="G20" s="11">
        <v>271</v>
      </c>
      <c r="H20" s="8">
        <v>22</v>
      </c>
      <c r="I20" s="11">
        <v>200</v>
      </c>
      <c r="J20" s="8">
        <v>23</v>
      </c>
      <c r="K20" s="8">
        <v>155.80000000000001</v>
      </c>
      <c r="L20" s="8">
        <v>24</v>
      </c>
      <c r="M20" s="11">
        <v>125.8</v>
      </c>
      <c r="N20" s="8">
        <v>25</v>
      </c>
      <c r="O20" s="11">
        <v>104.3</v>
      </c>
      <c r="P20" s="8">
        <v>26</v>
      </c>
      <c r="Q20" s="11">
        <v>88.3</v>
      </c>
      <c r="R20" s="8">
        <v>27</v>
      </c>
      <c r="S20" s="11">
        <v>75.900000000000006</v>
      </c>
      <c r="T20" s="8">
        <v>28</v>
      </c>
      <c r="U20" s="11">
        <v>66.099999999999994</v>
      </c>
      <c r="V20" s="8">
        <v>29</v>
      </c>
      <c r="W20" s="11">
        <v>58.2</v>
      </c>
      <c r="X20" s="8">
        <v>30</v>
      </c>
      <c r="Y20" s="11">
        <v>51.7</v>
      </c>
    </row>
    <row r="21" spans="2:31" x14ac:dyDescent="0.2">
      <c r="B21" s="8">
        <v>20</v>
      </c>
      <c r="C21" s="11">
        <v>702.6</v>
      </c>
      <c r="D21" s="8">
        <v>21</v>
      </c>
      <c r="E21" s="11">
        <v>403.1</v>
      </c>
      <c r="F21" s="8">
        <v>22</v>
      </c>
      <c r="G21" s="11">
        <v>273.3</v>
      </c>
      <c r="H21" s="8">
        <v>23</v>
      </c>
      <c r="I21" s="11">
        <v>202.1</v>
      </c>
      <c r="J21" s="8">
        <v>24</v>
      </c>
      <c r="K21" s="8">
        <v>157.69999999999999</v>
      </c>
      <c r="L21" s="8">
        <v>25</v>
      </c>
      <c r="M21" s="11">
        <v>127.6</v>
      </c>
      <c r="N21" s="8">
        <v>26</v>
      </c>
      <c r="O21" s="11">
        <v>105.9</v>
      </c>
      <c r="P21" s="8">
        <v>27</v>
      </c>
      <c r="Q21" s="11">
        <v>89.8</v>
      </c>
      <c r="R21" s="8">
        <v>28</v>
      </c>
      <c r="S21" s="11">
        <v>77.3</v>
      </c>
      <c r="T21" s="8">
        <v>29</v>
      </c>
      <c r="U21" s="11">
        <v>67.400000000000006</v>
      </c>
      <c r="V21" s="8">
        <v>30</v>
      </c>
      <c r="W21" s="11">
        <v>59.4</v>
      </c>
    </row>
    <row r="22" spans="2:31" x14ac:dyDescent="0.2">
      <c r="B22" s="8">
        <v>21</v>
      </c>
      <c r="C22" s="11">
        <v>705.1</v>
      </c>
      <c r="D22" s="8">
        <v>22</v>
      </c>
      <c r="E22" s="11">
        <v>405.4</v>
      </c>
      <c r="F22" s="8">
        <v>23</v>
      </c>
      <c r="G22" s="11">
        <v>275.3</v>
      </c>
      <c r="H22" s="8">
        <v>24</v>
      </c>
      <c r="I22" s="11">
        <v>204</v>
      </c>
      <c r="J22" s="8">
        <v>25</v>
      </c>
      <c r="K22" s="8">
        <v>159.4</v>
      </c>
      <c r="L22" s="8">
        <v>26</v>
      </c>
      <c r="M22" s="11">
        <v>129.19999999999999</v>
      </c>
      <c r="N22" s="8">
        <v>27</v>
      </c>
      <c r="O22" s="11">
        <v>107.4</v>
      </c>
      <c r="P22" s="8">
        <v>28</v>
      </c>
      <c r="Q22" s="11">
        <v>91.1</v>
      </c>
      <c r="R22" s="8">
        <v>29</v>
      </c>
      <c r="S22" s="11">
        <v>78.599999999999994</v>
      </c>
      <c r="T22" s="8">
        <v>30</v>
      </c>
      <c r="U22" s="11">
        <v>68.599999999999994</v>
      </c>
    </row>
    <row r="23" spans="2:31" x14ac:dyDescent="0.2">
      <c r="B23" s="8">
        <v>22</v>
      </c>
      <c r="C23" s="11">
        <v>707.3</v>
      </c>
      <c r="D23" s="8">
        <v>23</v>
      </c>
      <c r="E23" s="11">
        <v>407.4</v>
      </c>
      <c r="F23" s="8">
        <v>24</v>
      </c>
      <c r="G23" s="11">
        <v>277.2</v>
      </c>
      <c r="H23" s="8">
        <v>25</v>
      </c>
      <c r="I23" s="11">
        <v>205.7</v>
      </c>
      <c r="J23" s="8">
        <v>26</v>
      </c>
      <c r="K23" s="11">
        <v>161</v>
      </c>
      <c r="L23" s="8">
        <v>27</v>
      </c>
      <c r="M23" s="11">
        <v>130.6</v>
      </c>
      <c r="N23" s="8">
        <v>28</v>
      </c>
      <c r="O23" s="11">
        <v>108.8</v>
      </c>
      <c r="P23" s="8">
        <v>29</v>
      </c>
      <c r="Q23" s="11">
        <v>92.4</v>
      </c>
      <c r="R23" s="8">
        <v>30</v>
      </c>
      <c r="S23" s="11">
        <v>79.8</v>
      </c>
    </row>
    <row r="24" spans="2:31" x14ac:dyDescent="0.2">
      <c r="B24" s="8">
        <v>23</v>
      </c>
      <c r="C24" s="11">
        <v>709.4</v>
      </c>
      <c r="D24" s="8">
        <v>24</v>
      </c>
      <c r="E24" s="11">
        <v>409.3</v>
      </c>
      <c r="F24" s="8">
        <v>25</v>
      </c>
      <c r="G24" s="11">
        <v>279</v>
      </c>
      <c r="H24" s="8">
        <v>26</v>
      </c>
      <c r="I24" s="11">
        <v>207.3</v>
      </c>
      <c r="J24" s="8">
        <v>27</v>
      </c>
      <c r="K24" s="8">
        <v>162.5</v>
      </c>
      <c r="L24" s="8">
        <v>28</v>
      </c>
      <c r="M24" s="11">
        <v>132</v>
      </c>
      <c r="N24" s="8">
        <v>29</v>
      </c>
      <c r="O24" s="11">
        <v>110.1</v>
      </c>
      <c r="P24" s="8">
        <v>30</v>
      </c>
      <c r="Q24" s="11">
        <v>93.6</v>
      </c>
    </row>
    <row r="25" spans="2:31" x14ac:dyDescent="0.2">
      <c r="B25" s="8">
        <v>24</v>
      </c>
      <c r="C25" s="11">
        <v>711.2</v>
      </c>
      <c r="D25" s="8">
        <v>25</v>
      </c>
      <c r="E25" s="11">
        <v>411.1</v>
      </c>
      <c r="F25" s="8">
        <v>26</v>
      </c>
      <c r="G25" s="11">
        <v>280.60000000000002</v>
      </c>
      <c r="H25" s="8">
        <v>27</v>
      </c>
      <c r="I25" s="11">
        <v>208.8</v>
      </c>
      <c r="J25" s="8">
        <v>28</v>
      </c>
      <c r="K25" s="8">
        <v>163.9</v>
      </c>
      <c r="L25" s="8">
        <v>29</v>
      </c>
      <c r="M25" s="11">
        <v>133.30000000000001</v>
      </c>
      <c r="N25" s="8">
        <v>30</v>
      </c>
      <c r="O25" s="11">
        <v>111.3</v>
      </c>
    </row>
    <row r="26" spans="2:31" x14ac:dyDescent="0.2">
      <c r="B26" s="8">
        <v>25</v>
      </c>
      <c r="C26" s="11">
        <v>713</v>
      </c>
      <c r="D26" s="8">
        <v>26</v>
      </c>
      <c r="E26" s="11">
        <v>412.7</v>
      </c>
      <c r="F26" s="8">
        <v>27</v>
      </c>
      <c r="G26" s="11">
        <v>282</v>
      </c>
      <c r="H26" s="8">
        <v>28</v>
      </c>
      <c r="I26" s="11">
        <v>210.2</v>
      </c>
      <c r="J26" s="8">
        <v>29</v>
      </c>
      <c r="K26" s="8">
        <v>165.2</v>
      </c>
      <c r="L26" s="8">
        <v>30</v>
      </c>
      <c r="M26" s="11">
        <v>134.5</v>
      </c>
    </row>
    <row r="27" spans="2:31" x14ac:dyDescent="0.2">
      <c r="B27" s="8">
        <v>26</v>
      </c>
      <c r="C27" s="11">
        <v>714.6</v>
      </c>
      <c r="D27" s="8">
        <v>27</v>
      </c>
      <c r="E27" s="11">
        <v>414.2</v>
      </c>
      <c r="F27" s="8">
        <v>28</v>
      </c>
      <c r="G27" s="11">
        <v>283.39999999999998</v>
      </c>
      <c r="H27" s="8">
        <v>29</v>
      </c>
      <c r="I27" s="11">
        <v>211.5</v>
      </c>
      <c r="J27" s="8">
        <v>30</v>
      </c>
      <c r="K27" s="8">
        <v>166.4</v>
      </c>
    </row>
    <row r="28" spans="2:31" x14ac:dyDescent="0.2">
      <c r="B28" s="8">
        <v>27</v>
      </c>
      <c r="C28" s="11">
        <v>716.1</v>
      </c>
      <c r="D28" s="8">
        <v>28</v>
      </c>
      <c r="E28" s="11">
        <v>415.5</v>
      </c>
      <c r="F28" s="8">
        <v>29</v>
      </c>
      <c r="G28" s="11">
        <v>284.7</v>
      </c>
      <c r="H28" s="8">
        <v>30</v>
      </c>
      <c r="I28" s="11">
        <v>212.7</v>
      </c>
    </row>
    <row r="29" spans="2:31" x14ac:dyDescent="0.2">
      <c r="B29" s="8">
        <v>28</v>
      </c>
      <c r="C29" s="11">
        <v>717.5</v>
      </c>
      <c r="D29" s="8">
        <v>29</v>
      </c>
      <c r="E29" s="11">
        <v>416.8</v>
      </c>
      <c r="F29" s="8">
        <v>30</v>
      </c>
      <c r="G29" s="11">
        <v>285.89999999999998</v>
      </c>
    </row>
    <row r="30" spans="2:31" x14ac:dyDescent="0.2">
      <c r="B30" s="8">
        <v>29</v>
      </c>
      <c r="C30" s="11">
        <v>718.7</v>
      </c>
      <c r="D30" s="8">
        <v>30</v>
      </c>
      <c r="E30" s="11">
        <v>418</v>
      </c>
    </row>
    <row r="31" spans="2:31" x14ac:dyDescent="0.2">
      <c r="B31" s="8">
        <v>30</v>
      </c>
      <c r="C31" s="11">
        <v>719.9</v>
      </c>
    </row>
    <row r="35" spans="2:21" ht="18" x14ac:dyDescent="0.25">
      <c r="B35" s="23" t="s">
        <v>471</v>
      </c>
      <c r="D35" s="23"/>
      <c r="E35" s="23"/>
      <c r="F35" s="23"/>
      <c r="G35" s="23"/>
      <c r="H35" s="23"/>
      <c r="I35" s="23"/>
      <c r="J35" s="23"/>
      <c r="K35" s="23"/>
      <c r="L35" s="23"/>
      <c r="M35" s="23"/>
      <c r="N35" s="23"/>
      <c r="O35" s="23"/>
      <c r="P35" s="23"/>
      <c r="Q35" s="23"/>
      <c r="R35" s="23"/>
      <c r="S35" s="23"/>
      <c r="T35" s="22"/>
      <c r="U35" s="22"/>
    </row>
  </sheetData>
  <pageMargins left="0.7" right="0.7" top="0.75" bottom="0.75" header="0.3" footer="0.3"/>
  <customProperties>
    <customPr name="_pios_id" r:id="rId1"/>
  </customPropertie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7">
    <tabColor rgb="FF92D050"/>
  </sheetPr>
  <dimension ref="B1:Y39"/>
  <sheetViews>
    <sheetView showGridLines="0" topLeftCell="F1" workbookViewId="0">
      <selection activeCell="C39" sqref="C39:D39"/>
    </sheetView>
  </sheetViews>
  <sheetFormatPr baseColWidth="10" defaultColWidth="11" defaultRowHeight="14.25" x14ac:dyDescent="0.2"/>
  <cols>
    <col min="1" max="1" width="1.5" customWidth="1"/>
    <col min="13" max="13" width="14.375" customWidth="1"/>
    <col min="14" max="14" width="19.625" customWidth="1"/>
    <col min="20" max="20" width="17.375" customWidth="1"/>
  </cols>
  <sheetData>
    <row r="1" spans="2:25" ht="15" x14ac:dyDescent="0.25">
      <c r="N1" s="15" t="s">
        <v>351</v>
      </c>
    </row>
    <row r="2" spans="2:25" ht="15" x14ac:dyDescent="0.25">
      <c r="E2" s="22" t="s">
        <v>472</v>
      </c>
      <c r="N2" s="101">
        <v>5.6782630000000003</v>
      </c>
      <c r="Q2" s="22" t="s">
        <v>473</v>
      </c>
    </row>
    <row r="3" spans="2:25" ht="15" customHeight="1" x14ac:dyDescent="0.2"/>
    <row r="4" spans="2:25" ht="15" x14ac:dyDescent="0.25">
      <c r="B4" s="15" t="s">
        <v>354</v>
      </c>
      <c r="C4" s="15" t="s">
        <v>355</v>
      </c>
      <c r="G4" s="15" t="s">
        <v>474</v>
      </c>
      <c r="H4" s="15" t="s">
        <v>350</v>
      </c>
      <c r="I4" s="15" t="s">
        <v>395</v>
      </c>
      <c r="J4" s="15" t="s">
        <v>454</v>
      </c>
      <c r="K4" s="15" t="s">
        <v>194</v>
      </c>
      <c r="M4" s="15" t="s">
        <v>475</v>
      </c>
      <c r="N4" s="15" t="s">
        <v>476</v>
      </c>
      <c r="R4" s="15" t="s">
        <v>173</v>
      </c>
      <c r="S4" s="15" t="s">
        <v>260</v>
      </c>
      <c r="T4" s="15" t="s">
        <v>477</v>
      </c>
    </row>
    <row r="5" spans="2:25" ht="15" x14ac:dyDescent="0.25">
      <c r="B5" s="7">
        <v>0</v>
      </c>
      <c r="C5" s="7">
        <v>1</v>
      </c>
      <c r="E5" s="598" t="s">
        <v>478</v>
      </c>
      <c r="F5" s="599"/>
      <c r="G5" s="14">
        <f>IF(M5="R",N5,IF(M5="RSI",N5*$N$2,0))</f>
        <v>0</v>
      </c>
      <c r="H5" s="16">
        <f>VLOOKUP(G5,B5:C35,2,TRUE)</f>
        <v>1</v>
      </c>
      <c r="I5" s="604">
        <f>IF(G6&lt;18.9,0,IF(H5=H6,0,IF('Niveau murs hors sol'!H5=1,VLOOKUP('Niveau murs hors sol'!H6,'MJ par m² murs hors sol'!$B$3:$C$31,2,FALSE),
IF('Niveau murs hors sol'!H5=2,VLOOKUP('Niveau murs hors sol'!H6,'MJ par m² murs hors sol'!$D$3:$E$30,2,FALSE),
IF('Niveau murs hors sol'!H5=3,VLOOKUP('Niveau murs hors sol'!H6,'MJ par m² murs hors sol'!$F$3:$G$29,2,FALSE),
IF('Niveau murs hors sol'!H5=4,VLOOKUP('Niveau murs hors sol'!H6,'MJ par m² murs hors sol'!$H$3:$I$28,2,FALSE),
IF('Niveau murs hors sol'!H5=5,VLOOKUP('Niveau murs hors sol'!H6,'MJ par m² murs hors sol'!$J$3:$K$27,2,FALSE),
IF('Niveau murs hors sol'!H5=6,VLOOKUP('Niveau murs hors sol'!H6,'MJ par m² murs hors sol'!$L$3:$M$26,2,FALSE),
IF('Niveau murs hors sol'!H5=7,VLOOKUP('Niveau murs hors sol'!H6,'MJ par m² murs hors sol'!$N$3:$O$25,2,FALSE),
IF('Niveau murs hors sol'!H5=8,VLOOKUP('Niveau murs hors sol'!H6,'MJ par m² murs hors sol'!$P$3:$Q$24,2,FALSE),
IF('Niveau murs hors sol'!H5=9,VLOOKUP('Niveau murs hors sol'!H6,'MJ par m² murs hors sol'!$R$3:$S$23,2,FALSE),
IF('Niveau murs hors sol'!H5=10,VLOOKUP('Niveau murs hors sol'!H6,'MJ par m² murs hors sol'!$T$3:$U$22,2,FALSE),
IF('Niveau murs hors sol'!H5=11,VLOOKUP('Niveau murs hors sol'!H6,'MJ par m² murs hors sol'!$V$3:$W$21,2,FALSE),
IF('Niveau murs hors sol'!H5=12,VLOOKUP('Niveau murs hors sol'!H6,'MJ par m² murs hors sol'!$X$3:$Y$20,2,FALSE),
IF('Niveau murs hors sol'!H5=13,VLOOKUP('Niveau murs hors sol'!H6,'MJ par m² murs hors sol'!$Z$3:$AA$19,2,FALSE),
IF('Niveau murs hors sol'!H5=14,VLOOKUP('Niveau murs hors sol'!H6,'MJ par m² murs hors sol'!$AB$3:$AC$18,2,FALSE),
IF('Niveau murs hors sol'!H5=15,VLOOKUP('Niveau murs hors sol'!H6,'MJ par m² murs hors sol'!$AD$3:$AE$17,2,FALSE),
IF('Niveau murs hors sol'!H5=16,VLOOKUP('Niveau murs hors sol'!H6,'MJ par m² murs hors sol'!$AF$3:$AG$16,2,FALSE),
IF('Niveau murs hors sol'!H5=17,VLOOKUP('Niveau murs hors sol'!H6,'MJ par m² murs hors sol'!$AH$3:$AI$15,2,FALSE),
IF('Niveau murs hors sol'!H5=18,VLOOKUP('Niveau murs hors sol'!H6,'MJ par m² murs hors sol'!$AJ$3:$AK$14,2,FALSE),
IF('Niveau murs hors sol'!H5=19,VLOOKUP('Niveau murs hors sol'!H6,'MJ par m² murs hors sol'!$AL$3:$AM$13,2,FALSE),
IF('Niveau murs hors sol'!H5=20,VLOOKUP('Niveau murs hors sol'!H6,'MJ par m² murs hors sol'!$AN$3:$AO$12,2,FALSE),
IF('Niveau murs hors sol'!H5=21,VLOOKUP('Niveau murs hors sol'!H6,'MJ par m² murs hors sol'!$AP$3:$AQ$11,2,FALSE),
IF('Niveau murs hors sol'!H5=22,VLOOKUP('Niveau murs hors sol'!H6,'MJ par m² murs hors sol'!$AR$3:$AS$10,2,FALSE),
IF('Niveau murs hors sol'!H5=23,VLOOKUP('Niveau murs hors sol'!H6,'MJ par m² murs hors sol'!$AT$3:$AU$9,2,FALSE),
IF('Niveau murs hors sol'!H5=24,VLOOKUP('Niveau murs hors sol'!H6,'MJ par m² murs hors sol'!$AV$3:$AW$8,2,FALSE),
IF('Niveau murs hors sol'!H5=25,VLOOKUP('Niveau murs hors sol'!H6,'MJ par m² murs hors sol'!$AX$3:$AY$7,2,FALSE),
IF('Niveau murs hors sol'!H5=26,VLOOKUP('Niveau murs hors sol'!H6,'MJ par m² murs hors sol'!$AZ$3:$BA$6,2,FALSE),
IF('Niveau murs hors sol'!H5=27,VLOOKUP('Niveau murs hors sol'!H6,'MJ par m² murs hors sol'!$BB$3:$BC$5,2,FALSE),
IF('Niveau murs hors sol'!H5=28,VLOOKUP('Niveau murs hors sol'!H6,'MJ par m² murs hors sol'!$BD$3:$BE$4,2,FALSE),
IF('Niveau murs hors sol'!H5=29,VLOOKUP('Niveau murs hors sol'!H6,'MJ par m² murs hors sol'!$BF$3:$BG$3,2,FALSE))))))))))))))))))))))))))))))))</f>
        <v>0</v>
      </c>
      <c r="J5" s="600">
        <f>IF( '2 - Description of the work'!J95="m²",'2 - Description of the work'!H95, IF( '2 - Description of the work'!J95 ="ft²", '2 - Description of the work'!H95*0.092903, 0 ))*G9</f>
        <v>0</v>
      </c>
      <c r="K5" s="596">
        <f>I5*J5</f>
        <v>0</v>
      </c>
      <c r="M5" s="14">
        <f>'2 - Description of the work'!$H$99</f>
        <v>0</v>
      </c>
      <c r="N5" s="14" t="str">
        <f>'2 - Description of the work'!H104</f>
        <v/>
      </c>
      <c r="R5" s="384">
        <f>S5*$N$2</f>
        <v>18.880224475000002</v>
      </c>
      <c r="S5" s="370">
        <v>3.3250000000000002</v>
      </c>
      <c r="T5" s="100" t="str">
        <f>IF($M$5 = "R", "- R " &amp; TEXT(R5,"0,0"),"- RSI " &amp; TEXT(S5,"0,00"))</f>
        <v>- RSI 3,33</v>
      </c>
    </row>
    <row r="6" spans="2:25" ht="15" x14ac:dyDescent="0.25">
      <c r="B6" s="7">
        <v>5</v>
      </c>
      <c r="C6" s="7">
        <v>1</v>
      </c>
      <c r="E6" s="598" t="s">
        <v>479</v>
      </c>
      <c r="F6" s="599"/>
      <c r="G6" s="14">
        <f>IFERROR(G8*G9,0)</f>
        <v>0</v>
      </c>
      <c r="H6" s="16">
        <f>VLOOKUP(G6,B5:C35,2,TRUE)</f>
        <v>1</v>
      </c>
      <c r="I6" s="605"/>
      <c r="J6" s="601"/>
      <c r="K6" s="597"/>
      <c r="M6" s="14">
        <f>'2 - Description of the work'!$H$99</f>
        <v>0</v>
      </c>
      <c r="N6" s="14">
        <f>'2 - Description of the work'!H102</f>
        <v>0</v>
      </c>
      <c r="R6" s="372"/>
      <c r="S6" s="372"/>
    </row>
    <row r="7" spans="2:25" ht="15" x14ac:dyDescent="0.25">
      <c r="B7" s="7">
        <f>B6+1</f>
        <v>6</v>
      </c>
      <c r="C7" s="7">
        <f>C6+1</f>
        <v>2</v>
      </c>
      <c r="E7" s="598" t="s">
        <v>480</v>
      </c>
      <c r="F7" s="599"/>
      <c r="G7" s="9">
        <f>R5</f>
        <v>18.880224475000002</v>
      </c>
      <c r="Q7" s="22" t="s">
        <v>481</v>
      </c>
      <c r="R7" s="372"/>
      <c r="S7" s="372"/>
    </row>
    <row r="8" spans="2:25" ht="15" x14ac:dyDescent="0.25">
      <c r="B8" s="7">
        <f t="shared" ref="B8:B35" si="0">B7+1</f>
        <v>7</v>
      </c>
      <c r="C8" s="7">
        <f t="shared" ref="C8:C35" si="1">C7+1</f>
        <v>3</v>
      </c>
      <c r="E8" s="598" t="s">
        <v>482</v>
      </c>
      <c r="F8" s="599"/>
      <c r="G8" s="9">
        <f>IF(M6="R",N6, IF(M6="RSI",N6*$N$2,0))</f>
        <v>0</v>
      </c>
      <c r="R8" s="372"/>
      <c r="S8" s="372"/>
    </row>
    <row r="9" spans="2:25" ht="15" x14ac:dyDescent="0.25">
      <c r="B9" s="7">
        <f t="shared" si="0"/>
        <v>8</v>
      </c>
      <c r="C9" s="7">
        <f t="shared" si="1"/>
        <v>4</v>
      </c>
      <c r="E9" s="598" t="s">
        <v>483</v>
      </c>
      <c r="F9" s="599"/>
      <c r="G9" s="16">
        <f>IFERROR(IF((G8&gt;=G7)*(G8&gt;G5),1,0),0)</f>
        <v>0</v>
      </c>
      <c r="Q9" s="31"/>
      <c r="R9" s="373" t="s">
        <v>173</v>
      </c>
      <c r="S9" s="373" t="s">
        <v>260</v>
      </c>
      <c r="T9" s="15" t="s">
        <v>477</v>
      </c>
    </row>
    <row r="10" spans="2:25" x14ac:dyDescent="0.2">
      <c r="B10" s="7">
        <f t="shared" si="0"/>
        <v>9</v>
      </c>
      <c r="C10" s="7">
        <f t="shared" si="1"/>
        <v>5</v>
      </c>
      <c r="Q10" s="32"/>
      <c r="R10" s="375">
        <v>17.2</v>
      </c>
      <c r="S10" s="375">
        <f>R10/$N$2</f>
        <v>3.0290953413041977</v>
      </c>
      <c r="T10" s="100" t="str">
        <f>IF($M$5 = "R", "- R " &amp; TEXT(R10,"0,0"),"- RSI " &amp; TEXT(S10,"0,0"))</f>
        <v>- RSI 3,0</v>
      </c>
      <c r="U10" s="595" t="s">
        <v>564</v>
      </c>
      <c r="V10" s="595"/>
      <c r="W10" s="595"/>
      <c r="X10" s="595"/>
      <c r="Y10" s="595"/>
    </row>
    <row r="11" spans="2:25" x14ac:dyDescent="0.2">
      <c r="B11" s="7">
        <f t="shared" si="0"/>
        <v>10</v>
      </c>
      <c r="C11" s="7">
        <f t="shared" si="1"/>
        <v>6</v>
      </c>
      <c r="Q11" s="32"/>
      <c r="R11" s="32"/>
      <c r="U11" s="595"/>
      <c r="V11" s="595"/>
      <c r="W11" s="595"/>
      <c r="X11" s="595"/>
      <c r="Y11" s="595"/>
    </row>
    <row r="12" spans="2:25" x14ac:dyDescent="0.2">
      <c r="B12" s="7">
        <f t="shared" si="0"/>
        <v>11</v>
      </c>
      <c r="C12" s="7">
        <f t="shared" si="1"/>
        <v>7</v>
      </c>
      <c r="E12" s="594" t="s">
        <v>484</v>
      </c>
      <c r="F12" s="594"/>
      <c r="G12" s="594"/>
      <c r="H12" s="594"/>
      <c r="I12" s="594"/>
      <c r="J12" s="594"/>
      <c r="Q12" s="32"/>
      <c r="R12" s="32"/>
      <c r="U12" s="595"/>
      <c r="V12" s="595"/>
      <c r="W12" s="595"/>
      <c r="X12" s="595"/>
      <c r="Y12" s="595"/>
    </row>
    <row r="13" spans="2:25" x14ac:dyDescent="0.2">
      <c r="B13" s="7">
        <f t="shared" si="0"/>
        <v>12</v>
      </c>
      <c r="C13" s="7">
        <f t="shared" si="1"/>
        <v>8</v>
      </c>
      <c r="E13" s="594"/>
      <c r="F13" s="594"/>
      <c r="G13" s="594"/>
      <c r="H13" s="594"/>
      <c r="I13" s="594"/>
      <c r="J13" s="594"/>
    </row>
    <row r="14" spans="2:25" ht="15" x14ac:dyDescent="0.25">
      <c r="B14" s="7">
        <f t="shared" si="0"/>
        <v>13</v>
      </c>
      <c r="C14" s="7">
        <f t="shared" si="1"/>
        <v>9</v>
      </c>
      <c r="E14" s="594"/>
      <c r="F14" s="594"/>
      <c r="G14" s="594"/>
      <c r="H14" s="594"/>
      <c r="I14" s="594"/>
      <c r="J14" s="594"/>
      <c r="Q14" s="371" t="s">
        <v>562</v>
      </c>
      <c r="R14" s="372"/>
      <c r="S14" s="372"/>
    </row>
    <row r="15" spans="2:25" x14ac:dyDescent="0.2">
      <c r="B15" s="7">
        <f t="shared" si="0"/>
        <v>14</v>
      </c>
      <c r="C15" s="7">
        <f t="shared" si="1"/>
        <v>10</v>
      </c>
      <c r="Q15" s="372"/>
      <c r="R15" s="372"/>
      <c r="S15" s="372"/>
    </row>
    <row r="16" spans="2:25" ht="15" x14ac:dyDescent="0.25">
      <c r="B16" s="7">
        <f t="shared" si="0"/>
        <v>15</v>
      </c>
      <c r="C16" s="7">
        <f t="shared" si="1"/>
        <v>11</v>
      </c>
      <c r="Q16" s="372"/>
      <c r="R16" s="373" t="s">
        <v>173</v>
      </c>
      <c r="S16" s="373" t="s">
        <v>260</v>
      </c>
    </row>
    <row r="17" spans="2:19" x14ac:dyDescent="0.2">
      <c r="B17" s="7">
        <f t="shared" si="0"/>
        <v>16</v>
      </c>
      <c r="C17" s="7">
        <f t="shared" si="1"/>
        <v>12</v>
      </c>
      <c r="Q17" s="372"/>
      <c r="R17" s="375">
        <f>S17*$N$2</f>
        <v>13.51426594</v>
      </c>
      <c r="S17" s="376">
        <v>2.38</v>
      </c>
    </row>
    <row r="18" spans="2:19" x14ac:dyDescent="0.2">
      <c r="B18" s="7">
        <f t="shared" si="0"/>
        <v>17</v>
      </c>
      <c r="C18" s="7">
        <f t="shared" si="1"/>
        <v>13</v>
      </c>
    </row>
    <row r="19" spans="2:19" x14ac:dyDescent="0.2">
      <c r="B19" s="7">
        <f t="shared" si="0"/>
        <v>18</v>
      </c>
      <c r="C19" s="7">
        <f t="shared" si="1"/>
        <v>14</v>
      </c>
    </row>
    <row r="20" spans="2:19" x14ac:dyDescent="0.2">
      <c r="B20" s="7">
        <f t="shared" si="0"/>
        <v>19</v>
      </c>
      <c r="C20" s="7">
        <f t="shared" si="1"/>
        <v>15</v>
      </c>
    </row>
    <row r="21" spans="2:19" x14ac:dyDescent="0.2">
      <c r="B21" s="7">
        <f t="shared" si="0"/>
        <v>20</v>
      </c>
      <c r="C21" s="7">
        <f t="shared" si="1"/>
        <v>16</v>
      </c>
    </row>
    <row r="22" spans="2:19" x14ac:dyDescent="0.2">
      <c r="B22" s="7">
        <f t="shared" si="0"/>
        <v>21</v>
      </c>
      <c r="C22" s="7">
        <f t="shared" si="1"/>
        <v>17</v>
      </c>
    </row>
    <row r="23" spans="2:19" x14ac:dyDescent="0.2">
      <c r="B23" s="7">
        <f t="shared" si="0"/>
        <v>22</v>
      </c>
      <c r="C23" s="7">
        <f t="shared" si="1"/>
        <v>18</v>
      </c>
    </row>
    <row r="24" spans="2:19" x14ac:dyDescent="0.2">
      <c r="B24" s="7">
        <f t="shared" si="0"/>
        <v>23</v>
      </c>
      <c r="C24" s="7">
        <f t="shared" si="1"/>
        <v>19</v>
      </c>
    </row>
    <row r="25" spans="2:19" x14ac:dyDescent="0.2">
      <c r="B25" s="7">
        <f t="shared" si="0"/>
        <v>24</v>
      </c>
      <c r="C25" s="7">
        <f t="shared" si="1"/>
        <v>20</v>
      </c>
    </row>
    <row r="26" spans="2:19" x14ac:dyDescent="0.2">
      <c r="B26" s="7">
        <f t="shared" si="0"/>
        <v>25</v>
      </c>
      <c r="C26" s="7">
        <f t="shared" si="1"/>
        <v>21</v>
      </c>
    </row>
    <row r="27" spans="2:19" x14ac:dyDescent="0.2">
      <c r="B27" s="7">
        <f t="shared" si="0"/>
        <v>26</v>
      </c>
      <c r="C27" s="7">
        <f t="shared" si="1"/>
        <v>22</v>
      </c>
    </row>
    <row r="28" spans="2:19" x14ac:dyDescent="0.2">
      <c r="B28" s="7">
        <f t="shared" si="0"/>
        <v>27</v>
      </c>
      <c r="C28" s="7">
        <f t="shared" si="1"/>
        <v>23</v>
      </c>
    </row>
    <row r="29" spans="2:19" x14ac:dyDescent="0.2">
      <c r="B29" s="7">
        <f t="shared" si="0"/>
        <v>28</v>
      </c>
      <c r="C29" s="7">
        <f t="shared" si="1"/>
        <v>24</v>
      </c>
    </row>
    <row r="30" spans="2:19" x14ac:dyDescent="0.2">
      <c r="B30" s="7">
        <f t="shared" si="0"/>
        <v>29</v>
      </c>
      <c r="C30" s="7">
        <f t="shared" si="1"/>
        <v>25</v>
      </c>
    </row>
    <row r="31" spans="2:19" x14ac:dyDescent="0.2">
      <c r="B31" s="7">
        <f t="shared" si="0"/>
        <v>30</v>
      </c>
      <c r="C31" s="7">
        <f t="shared" si="1"/>
        <v>26</v>
      </c>
    </row>
    <row r="32" spans="2:19" x14ac:dyDescent="0.2">
      <c r="B32" s="7">
        <f t="shared" si="0"/>
        <v>31</v>
      </c>
      <c r="C32" s="7">
        <f t="shared" si="1"/>
        <v>27</v>
      </c>
    </row>
    <row r="33" spans="2:3" x14ac:dyDescent="0.2">
      <c r="B33" s="7">
        <f t="shared" si="0"/>
        <v>32</v>
      </c>
      <c r="C33" s="7">
        <f t="shared" si="1"/>
        <v>28</v>
      </c>
    </row>
    <row r="34" spans="2:3" x14ac:dyDescent="0.2">
      <c r="B34" s="7">
        <f t="shared" si="0"/>
        <v>33</v>
      </c>
      <c r="C34" s="7">
        <f t="shared" si="1"/>
        <v>29</v>
      </c>
    </row>
    <row r="35" spans="2:3" x14ac:dyDescent="0.2">
      <c r="B35" s="7">
        <f t="shared" si="0"/>
        <v>34</v>
      </c>
      <c r="C35" s="7">
        <f t="shared" si="1"/>
        <v>30</v>
      </c>
    </row>
    <row r="38" spans="2:3" x14ac:dyDescent="0.2">
      <c r="B38" t="s">
        <v>485</v>
      </c>
    </row>
    <row r="39" spans="2:3" ht="18" x14ac:dyDescent="0.2">
      <c r="B39" s="23" t="s">
        <v>486</v>
      </c>
    </row>
  </sheetData>
  <mergeCells count="10">
    <mergeCell ref="U10:Y12"/>
    <mergeCell ref="E12:J14"/>
    <mergeCell ref="E7:F7"/>
    <mergeCell ref="E8:F8"/>
    <mergeCell ref="K5:K6"/>
    <mergeCell ref="E5:F5"/>
    <mergeCell ref="I5:I6"/>
    <mergeCell ref="E6:F6"/>
    <mergeCell ref="J5:J6"/>
    <mergeCell ref="E9:F9"/>
  </mergeCells>
  <pageMargins left="0.7" right="0.7" top="0.75" bottom="0.75" header="0.3" footer="0.3"/>
  <customProperties>
    <customPr name="_pios_id" r:id="rId1"/>
  </customPropertie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18">
    <tabColor rgb="FF92D050"/>
  </sheetPr>
  <dimension ref="B1:BG34"/>
  <sheetViews>
    <sheetView showGridLines="0" topLeftCell="U1" workbookViewId="0">
      <selection activeCell="C39" sqref="C39:D39"/>
    </sheetView>
  </sheetViews>
  <sheetFormatPr baseColWidth="10" defaultColWidth="11" defaultRowHeight="14.25" x14ac:dyDescent="0.2"/>
  <cols>
    <col min="1" max="1" width="1.5" customWidth="1"/>
  </cols>
  <sheetData>
    <row r="1" spans="2:59" ht="9" customHeight="1" x14ac:dyDescent="0.2"/>
    <row r="2" spans="2:59" x14ac:dyDescent="0.2">
      <c r="B2" s="8" t="s">
        <v>394</v>
      </c>
      <c r="C2" s="8" t="s">
        <v>395</v>
      </c>
      <c r="D2" s="8" t="s">
        <v>396</v>
      </c>
      <c r="E2" s="8" t="s">
        <v>395</v>
      </c>
      <c r="F2" s="8" t="s">
        <v>397</v>
      </c>
      <c r="G2" s="8" t="s">
        <v>395</v>
      </c>
      <c r="H2" s="8" t="s">
        <v>398</v>
      </c>
      <c r="I2" s="8" t="s">
        <v>395</v>
      </c>
      <c r="J2" s="8" t="s">
        <v>399</v>
      </c>
      <c r="K2" s="8" t="s">
        <v>395</v>
      </c>
      <c r="L2" s="8" t="s">
        <v>400</v>
      </c>
      <c r="M2" s="8" t="s">
        <v>395</v>
      </c>
      <c r="N2" s="8" t="s">
        <v>401</v>
      </c>
      <c r="O2" s="8" t="s">
        <v>395</v>
      </c>
      <c r="P2" s="8" t="s">
        <v>402</v>
      </c>
      <c r="Q2" s="8" t="s">
        <v>395</v>
      </c>
      <c r="R2" s="8" t="s">
        <v>403</v>
      </c>
      <c r="S2" s="8" t="s">
        <v>395</v>
      </c>
      <c r="T2" s="8" t="s">
        <v>404</v>
      </c>
      <c r="U2" s="8" t="s">
        <v>395</v>
      </c>
      <c r="V2" s="8" t="s">
        <v>405</v>
      </c>
      <c r="W2" s="8" t="s">
        <v>395</v>
      </c>
      <c r="X2" s="8" t="s">
        <v>406</v>
      </c>
      <c r="Y2" s="8" t="s">
        <v>395</v>
      </c>
      <c r="Z2" s="8" t="s">
        <v>407</v>
      </c>
      <c r="AA2" s="8" t="s">
        <v>395</v>
      </c>
      <c r="AB2" s="8" t="s">
        <v>408</v>
      </c>
      <c r="AC2" s="8" t="s">
        <v>395</v>
      </c>
      <c r="AD2" s="8" t="s">
        <v>409</v>
      </c>
      <c r="AE2" s="8" t="s">
        <v>395</v>
      </c>
      <c r="AF2" s="8" t="s">
        <v>410</v>
      </c>
      <c r="AG2" s="8" t="s">
        <v>395</v>
      </c>
      <c r="AH2" s="8" t="s">
        <v>411</v>
      </c>
      <c r="AI2" s="8" t="s">
        <v>395</v>
      </c>
      <c r="AJ2" s="8" t="s">
        <v>412</v>
      </c>
      <c r="AK2" s="8" t="s">
        <v>395</v>
      </c>
      <c r="AL2" s="8" t="s">
        <v>413</v>
      </c>
      <c r="AM2" s="8" t="s">
        <v>395</v>
      </c>
      <c r="AN2" s="8" t="s">
        <v>414</v>
      </c>
      <c r="AO2" s="8" t="s">
        <v>395</v>
      </c>
      <c r="AP2" s="8" t="s">
        <v>415</v>
      </c>
      <c r="AQ2" s="8" t="s">
        <v>395</v>
      </c>
      <c r="AR2" s="8" t="s">
        <v>416</v>
      </c>
      <c r="AS2" s="8" t="s">
        <v>395</v>
      </c>
      <c r="AT2" s="8" t="s">
        <v>417</v>
      </c>
      <c r="AU2" s="8" t="s">
        <v>395</v>
      </c>
      <c r="AV2" s="8" t="s">
        <v>418</v>
      </c>
      <c r="AW2" s="8" t="s">
        <v>395</v>
      </c>
      <c r="AX2" s="8" t="s">
        <v>419</v>
      </c>
      <c r="AY2" s="8" t="s">
        <v>395</v>
      </c>
      <c r="AZ2" s="8" t="s">
        <v>420</v>
      </c>
      <c r="BA2" s="8" t="s">
        <v>395</v>
      </c>
      <c r="BB2" s="8" t="s">
        <v>421</v>
      </c>
      <c r="BC2" s="8" t="s">
        <v>395</v>
      </c>
      <c r="BD2" s="8" t="s">
        <v>422</v>
      </c>
      <c r="BE2" s="8" t="s">
        <v>395</v>
      </c>
      <c r="BF2" s="8" t="s">
        <v>423</v>
      </c>
      <c r="BG2" s="8" t="s">
        <v>395</v>
      </c>
    </row>
    <row r="3" spans="2:59" x14ac:dyDescent="0.2">
      <c r="B3" s="8">
        <v>2</v>
      </c>
      <c r="C3" s="11">
        <v>85.8</v>
      </c>
      <c r="D3" s="8">
        <v>3</v>
      </c>
      <c r="E3" s="11">
        <v>62.2</v>
      </c>
      <c r="F3" s="8">
        <v>4</v>
      </c>
      <c r="G3" s="11">
        <v>47.1</v>
      </c>
      <c r="H3" s="8">
        <v>5</v>
      </c>
      <c r="I3" s="11">
        <v>36.9</v>
      </c>
      <c r="J3" s="8">
        <v>6</v>
      </c>
      <c r="K3" s="8">
        <v>29.7</v>
      </c>
      <c r="L3" s="8">
        <v>7</v>
      </c>
      <c r="M3" s="11">
        <v>24.4</v>
      </c>
      <c r="N3" s="8">
        <v>8</v>
      </c>
      <c r="O3" s="11">
        <v>20.399999999999999</v>
      </c>
      <c r="P3" s="8">
        <v>9</v>
      </c>
      <c r="Q3" s="11">
        <v>17.3</v>
      </c>
      <c r="R3" s="8">
        <v>10</v>
      </c>
      <c r="S3" s="11">
        <v>14.9</v>
      </c>
      <c r="T3" s="8">
        <v>11</v>
      </c>
      <c r="U3" s="11">
        <v>12.9</v>
      </c>
      <c r="V3" s="8">
        <v>12</v>
      </c>
      <c r="W3" s="11">
        <v>11.4</v>
      </c>
      <c r="X3" s="8">
        <v>13</v>
      </c>
      <c r="Y3" s="11">
        <v>10</v>
      </c>
      <c r="Z3" s="8">
        <v>14</v>
      </c>
      <c r="AA3" s="11">
        <v>8.9</v>
      </c>
      <c r="AB3" s="8">
        <v>15</v>
      </c>
      <c r="AC3" s="11">
        <v>8</v>
      </c>
      <c r="AD3" s="8">
        <v>16</v>
      </c>
      <c r="AE3" s="11">
        <v>7.2</v>
      </c>
      <c r="AF3" s="8">
        <v>17</v>
      </c>
      <c r="AG3" s="11">
        <v>6.5</v>
      </c>
      <c r="AH3" s="8">
        <v>18</v>
      </c>
      <c r="AI3" s="11">
        <v>5.9</v>
      </c>
      <c r="AJ3" s="8">
        <v>19</v>
      </c>
      <c r="AK3" s="11">
        <v>5.4</v>
      </c>
      <c r="AL3" s="8">
        <v>20</v>
      </c>
      <c r="AM3" s="11">
        <v>5</v>
      </c>
      <c r="AN3" s="8">
        <v>21</v>
      </c>
      <c r="AO3" s="11">
        <v>4.5999999999999996</v>
      </c>
      <c r="AP3" s="8">
        <v>22</v>
      </c>
      <c r="AQ3" s="11">
        <v>4.2</v>
      </c>
      <c r="AR3" s="8">
        <v>23</v>
      </c>
      <c r="AS3" s="8">
        <v>3.9</v>
      </c>
      <c r="AT3" s="8">
        <v>24</v>
      </c>
      <c r="AU3" s="11">
        <v>3.7</v>
      </c>
      <c r="AV3" s="8">
        <v>25</v>
      </c>
      <c r="AW3" s="11">
        <v>3.4</v>
      </c>
      <c r="AX3" s="8">
        <v>26</v>
      </c>
      <c r="AY3" s="11">
        <v>3.2</v>
      </c>
      <c r="AZ3" s="8">
        <v>27</v>
      </c>
      <c r="BA3" s="8">
        <v>3</v>
      </c>
      <c r="BB3" s="8">
        <v>28</v>
      </c>
      <c r="BC3" s="8">
        <v>2.8</v>
      </c>
      <c r="BD3" s="8">
        <v>29</v>
      </c>
      <c r="BE3" s="8">
        <v>2.6</v>
      </c>
      <c r="BF3" s="8">
        <v>30</v>
      </c>
      <c r="BG3" s="8">
        <v>2.5</v>
      </c>
    </row>
    <row r="4" spans="2:59" x14ac:dyDescent="0.2">
      <c r="B4" s="8">
        <v>3</v>
      </c>
      <c r="C4" s="11">
        <v>148</v>
      </c>
      <c r="D4" s="8">
        <v>4</v>
      </c>
      <c r="E4" s="11">
        <v>109.3</v>
      </c>
      <c r="F4" s="8">
        <v>5</v>
      </c>
      <c r="G4" s="11">
        <v>84</v>
      </c>
      <c r="H4" s="8">
        <v>6</v>
      </c>
      <c r="I4" s="11">
        <v>66.599999999999994</v>
      </c>
      <c r="J4" s="8">
        <v>7</v>
      </c>
      <c r="K4" s="8">
        <v>54.1</v>
      </c>
      <c r="L4" s="8">
        <v>8</v>
      </c>
      <c r="M4" s="11">
        <v>44.8</v>
      </c>
      <c r="N4" s="8">
        <v>9</v>
      </c>
      <c r="O4" s="11">
        <v>37.799999999999997</v>
      </c>
      <c r="P4" s="8">
        <v>10</v>
      </c>
      <c r="Q4" s="11">
        <v>32.200000000000003</v>
      </c>
      <c r="R4" s="8">
        <v>11</v>
      </c>
      <c r="S4" s="11">
        <v>27.9</v>
      </c>
      <c r="T4" s="8">
        <v>12</v>
      </c>
      <c r="U4" s="11">
        <v>24.3</v>
      </c>
      <c r="V4" s="8">
        <v>13</v>
      </c>
      <c r="W4" s="11">
        <v>21.4</v>
      </c>
      <c r="X4" s="8">
        <v>14</v>
      </c>
      <c r="Y4" s="11">
        <v>19</v>
      </c>
      <c r="Z4" s="8">
        <v>15</v>
      </c>
      <c r="AA4" s="11">
        <v>16.899999999999999</v>
      </c>
      <c r="AB4" s="8">
        <v>16</v>
      </c>
      <c r="AC4" s="11">
        <v>15.2</v>
      </c>
      <c r="AD4" s="8">
        <v>17</v>
      </c>
      <c r="AE4" s="11">
        <v>13.8</v>
      </c>
      <c r="AF4" s="8">
        <v>18</v>
      </c>
      <c r="AG4" s="11">
        <v>12.5</v>
      </c>
      <c r="AH4" s="8">
        <v>19</v>
      </c>
      <c r="AI4" s="11">
        <v>11.4</v>
      </c>
      <c r="AJ4" s="8">
        <v>20</v>
      </c>
      <c r="AK4" s="11">
        <v>10.4</v>
      </c>
      <c r="AL4" s="8">
        <v>21</v>
      </c>
      <c r="AM4" s="11">
        <v>9.6</v>
      </c>
      <c r="AN4" s="8">
        <v>22</v>
      </c>
      <c r="AO4" s="11">
        <v>8.8000000000000007</v>
      </c>
      <c r="AP4" s="8">
        <v>23</v>
      </c>
      <c r="AQ4" s="11">
        <v>8.1999999999999993</v>
      </c>
      <c r="AR4" s="8">
        <v>24</v>
      </c>
      <c r="AS4" s="8">
        <v>7.6</v>
      </c>
      <c r="AT4" s="8">
        <v>25</v>
      </c>
      <c r="AU4" s="11">
        <v>7.1</v>
      </c>
      <c r="AV4" s="8">
        <v>26</v>
      </c>
      <c r="AW4" s="11">
        <v>6.6</v>
      </c>
      <c r="AX4" s="8">
        <v>27</v>
      </c>
      <c r="AY4" s="11">
        <v>6.2</v>
      </c>
      <c r="AZ4" s="8">
        <v>28</v>
      </c>
      <c r="BA4" s="8">
        <v>5.8</v>
      </c>
      <c r="BB4" s="8">
        <v>29</v>
      </c>
      <c r="BC4" s="8">
        <v>5.4</v>
      </c>
      <c r="BD4" s="8">
        <v>30</v>
      </c>
      <c r="BE4" s="8">
        <v>5.0999999999999996</v>
      </c>
    </row>
    <row r="5" spans="2:59" x14ac:dyDescent="0.2">
      <c r="B5" s="8">
        <v>4</v>
      </c>
      <c r="C5" s="11">
        <v>195.1</v>
      </c>
      <c r="D5" s="8">
        <v>5</v>
      </c>
      <c r="E5" s="11">
        <v>146.19999999999999</v>
      </c>
      <c r="F5" s="8">
        <v>6</v>
      </c>
      <c r="G5" s="11">
        <v>113.7</v>
      </c>
      <c r="H5" s="8">
        <v>7</v>
      </c>
      <c r="I5" s="11">
        <v>91</v>
      </c>
      <c r="J5" s="8">
        <v>8</v>
      </c>
      <c r="K5" s="8">
        <v>74.5</v>
      </c>
      <c r="L5" s="8">
        <v>9</v>
      </c>
      <c r="M5" s="11">
        <v>62.2</v>
      </c>
      <c r="N5" s="8">
        <v>10</v>
      </c>
      <c r="O5" s="11">
        <v>52.7</v>
      </c>
      <c r="P5" s="8">
        <v>11</v>
      </c>
      <c r="Q5" s="11">
        <v>45.2</v>
      </c>
      <c r="R5" s="8">
        <v>12</v>
      </c>
      <c r="S5" s="11">
        <v>39.200000000000003</v>
      </c>
      <c r="T5" s="8">
        <v>13</v>
      </c>
      <c r="U5" s="11">
        <v>34.299999999999997</v>
      </c>
      <c r="V5" s="8">
        <v>14</v>
      </c>
      <c r="W5" s="11">
        <v>30.3</v>
      </c>
      <c r="X5" s="8">
        <v>15</v>
      </c>
      <c r="Y5" s="11">
        <v>27</v>
      </c>
      <c r="Z5" s="8">
        <v>16</v>
      </c>
      <c r="AA5" s="11">
        <v>24.2</v>
      </c>
      <c r="AB5" s="8">
        <v>17</v>
      </c>
      <c r="AC5" s="11">
        <v>21.8</v>
      </c>
      <c r="AD5" s="8">
        <v>18</v>
      </c>
      <c r="AE5" s="11">
        <v>19.7</v>
      </c>
      <c r="AF5" s="8">
        <v>19</v>
      </c>
      <c r="AG5" s="11">
        <v>17.899999999999999</v>
      </c>
      <c r="AH5" s="8">
        <v>20</v>
      </c>
      <c r="AI5" s="11">
        <v>16.399999999999999</v>
      </c>
      <c r="AJ5" s="8">
        <v>21</v>
      </c>
      <c r="AK5" s="11">
        <v>15</v>
      </c>
      <c r="AL5" s="8">
        <v>22</v>
      </c>
      <c r="AM5" s="11">
        <v>13.8</v>
      </c>
      <c r="AN5" s="8">
        <v>23</v>
      </c>
      <c r="AO5" s="11">
        <v>12.8</v>
      </c>
      <c r="AP5" s="8">
        <v>24</v>
      </c>
      <c r="AQ5" s="11">
        <v>11.8</v>
      </c>
      <c r="AR5" s="8">
        <v>25</v>
      </c>
      <c r="AS5" s="8">
        <v>11</v>
      </c>
      <c r="AT5" s="8">
        <v>26</v>
      </c>
      <c r="AU5" s="11">
        <v>10.199999999999999</v>
      </c>
      <c r="AV5" s="8">
        <v>27</v>
      </c>
      <c r="AW5" s="11">
        <v>9.6</v>
      </c>
      <c r="AX5" s="8">
        <v>28</v>
      </c>
      <c r="AY5" s="11">
        <v>8.9</v>
      </c>
      <c r="AZ5" s="8">
        <v>29</v>
      </c>
      <c r="BA5" s="8">
        <v>8.4</v>
      </c>
      <c r="BB5" s="8">
        <v>30</v>
      </c>
      <c r="BC5" s="8">
        <v>7.9</v>
      </c>
    </row>
    <row r="6" spans="2:59" x14ac:dyDescent="0.2">
      <c r="B6" s="8">
        <v>5</v>
      </c>
      <c r="C6" s="11">
        <v>232</v>
      </c>
      <c r="D6" s="8">
        <v>6</v>
      </c>
      <c r="E6" s="11">
        <v>175.9</v>
      </c>
      <c r="F6" s="8">
        <v>7</v>
      </c>
      <c r="G6" s="11">
        <v>138.1</v>
      </c>
      <c r="H6" s="8">
        <v>8</v>
      </c>
      <c r="I6" s="11">
        <v>111.5</v>
      </c>
      <c r="J6" s="8">
        <v>9</v>
      </c>
      <c r="K6" s="8">
        <v>91.9</v>
      </c>
      <c r="L6" s="8">
        <v>10</v>
      </c>
      <c r="M6" s="11">
        <v>77.099999999999994</v>
      </c>
      <c r="N6" s="8">
        <v>11</v>
      </c>
      <c r="O6" s="11">
        <v>65.599999999999994</v>
      </c>
      <c r="P6" s="8">
        <v>12</v>
      </c>
      <c r="Q6" s="11">
        <v>56.6</v>
      </c>
      <c r="R6" s="8">
        <v>13</v>
      </c>
      <c r="S6" s="11">
        <v>49.2</v>
      </c>
      <c r="T6" s="8">
        <v>14</v>
      </c>
      <c r="U6" s="11">
        <v>43.3</v>
      </c>
      <c r="V6" s="8">
        <v>15</v>
      </c>
      <c r="W6" s="11">
        <v>38.299999999999997</v>
      </c>
      <c r="X6" s="8">
        <v>16</v>
      </c>
      <c r="Y6" s="11">
        <v>34.200000000000003</v>
      </c>
      <c r="Z6" s="8">
        <v>17</v>
      </c>
      <c r="AA6" s="11">
        <v>30.7</v>
      </c>
      <c r="AB6" s="8">
        <v>18</v>
      </c>
      <c r="AC6" s="11">
        <v>27.7</v>
      </c>
      <c r="AD6" s="8">
        <v>19</v>
      </c>
      <c r="AE6" s="11">
        <v>25.1</v>
      </c>
      <c r="AF6" s="8">
        <v>20</v>
      </c>
      <c r="AG6" s="11">
        <v>22.9</v>
      </c>
      <c r="AH6" s="8">
        <v>21</v>
      </c>
      <c r="AI6" s="11">
        <v>21</v>
      </c>
      <c r="AJ6" s="8">
        <v>22</v>
      </c>
      <c r="AK6" s="11">
        <v>19.3</v>
      </c>
      <c r="AL6" s="8">
        <v>23</v>
      </c>
      <c r="AM6" s="11">
        <v>17.8</v>
      </c>
      <c r="AN6" s="8">
        <v>24</v>
      </c>
      <c r="AO6" s="11">
        <v>16.399999999999999</v>
      </c>
      <c r="AP6" s="8">
        <v>25</v>
      </c>
      <c r="AQ6" s="11">
        <v>15.2</v>
      </c>
      <c r="AR6" s="8">
        <v>26</v>
      </c>
      <c r="AS6" s="8">
        <v>14.2</v>
      </c>
      <c r="AT6" s="8">
        <v>27</v>
      </c>
      <c r="AU6" s="11">
        <v>13.2</v>
      </c>
      <c r="AV6" s="8">
        <v>28</v>
      </c>
      <c r="AW6" s="11">
        <v>12.3</v>
      </c>
      <c r="AX6" s="8">
        <v>29</v>
      </c>
      <c r="AY6" s="11">
        <v>11.6</v>
      </c>
      <c r="AZ6" s="8">
        <v>30</v>
      </c>
      <c r="BA6" s="8">
        <v>10.9</v>
      </c>
    </row>
    <row r="7" spans="2:59" x14ac:dyDescent="0.2">
      <c r="B7" s="8">
        <v>6</v>
      </c>
      <c r="C7" s="11">
        <v>261.7</v>
      </c>
      <c r="D7" s="8">
        <v>7</v>
      </c>
      <c r="E7" s="11">
        <v>200.3</v>
      </c>
      <c r="F7" s="8">
        <v>8</v>
      </c>
      <c r="G7" s="11">
        <v>158.6</v>
      </c>
      <c r="H7" s="8">
        <v>9</v>
      </c>
      <c r="I7" s="11">
        <v>128.80000000000001</v>
      </c>
      <c r="J7" s="8">
        <v>10</v>
      </c>
      <c r="K7" s="8">
        <v>106.8</v>
      </c>
      <c r="L7" s="8">
        <v>11</v>
      </c>
      <c r="M7" s="11">
        <v>90</v>
      </c>
      <c r="N7" s="8">
        <v>12</v>
      </c>
      <c r="O7" s="11">
        <v>77</v>
      </c>
      <c r="P7" s="8">
        <v>13</v>
      </c>
      <c r="Q7" s="11">
        <v>66.599999999999994</v>
      </c>
      <c r="R7" s="8">
        <v>14</v>
      </c>
      <c r="S7" s="11">
        <v>58.2</v>
      </c>
      <c r="T7" s="8">
        <v>15</v>
      </c>
      <c r="U7" s="11">
        <v>51.3</v>
      </c>
      <c r="V7" s="8">
        <v>16</v>
      </c>
      <c r="W7" s="11">
        <v>45.6</v>
      </c>
      <c r="X7" s="8">
        <v>17</v>
      </c>
      <c r="Y7" s="11">
        <v>40.700000000000003</v>
      </c>
      <c r="Z7" s="8">
        <v>18</v>
      </c>
      <c r="AA7" s="11">
        <v>36.6</v>
      </c>
      <c r="AB7" s="8">
        <v>19</v>
      </c>
      <c r="AC7" s="11">
        <v>33.1</v>
      </c>
      <c r="AD7" s="8">
        <v>20</v>
      </c>
      <c r="AE7" s="11">
        <v>30.1</v>
      </c>
      <c r="AF7" s="8">
        <v>21</v>
      </c>
      <c r="AG7" s="11">
        <v>27.5</v>
      </c>
      <c r="AH7" s="8">
        <v>22</v>
      </c>
      <c r="AI7" s="11">
        <v>25.2</v>
      </c>
      <c r="AJ7" s="8">
        <v>23</v>
      </c>
      <c r="AK7" s="11">
        <v>23.2</v>
      </c>
      <c r="AL7" s="8">
        <v>24</v>
      </c>
      <c r="AM7" s="11">
        <v>21.4</v>
      </c>
      <c r="AN7" s="8">
        <v>25</v>
      </c>
      <c r="AO7" s="11">
        <v>19.8</v>
      </c>
      <c r="AP7" s="8">
        <v>26</v>
      </c>
      <c r="AQ7" s="11">
        <v>18.399999999999999</v>
      </c>
      <c r="AR7" s="8">
        <v>27</v>
      </c>
      <c r="AS7" s="8">
        <v>17.100000000000001</v>
      </c>
      <c r="AT7" s="8">
        <v>28</v>
      </c>
      <c r="AU7" s="11">
        <v>16</v>
      </c>
      <c r="AV7" s="8">
        <v>29</v>
      </c>
      <c r="AW7" s="11">
        <v>15</v>
      </c>
      <c r="AX7" s="8">
        <v>30</v>
      </c>
      <c r="AY7" s="11">
        <v>14</v>
      </c>
    </row>
    <row r="8" spans="2:59" x14ac:dyDescent="0.2">
      <c r="B8" s="8">
        <v>7</v>
      </c>
      <c r="C8" s="11">
        <v>286.10000000000002</v>
      </c>
      <c r="D8" s="8">
        <v>8</v>
      </c>
      <c r="E8" s="11">
        <v>220.7</v>
      </c>
      <c r="F8" s="8">
        <v>9</v>
      </c>
      <c r="G8" s="11">
        <v>175.9</v>
      </c>
      <c r="H8" s="8">
        <v>10</v>
      </c>
      <c r="I8" s="11">
        <v>143.69999999999999</v>
      </c>
      <c r="J8" s="8">
        <v>11</v>
      </c>
      <c r="K8" s="11">
        <v>119.7</v>
      </c>
      <c r="L8" s="8">
        <v>12</v>
      </c>
      <c r="M8" s="11">
        <v>101.4</v>
      </c>
      <c r="N8" s="8">
        <v>13</v>
      </c>
      <c r="O8" s="11">
        <v>87</v>
      </c>
      <c r="P8" s="8">
        <v>14</v>
      </c>
      <c r="Q8" s="11">
        <v>75.5</v>
      </c>
      <c r="R8" s="8">
        <v>15</v>
      </c>
      <c r="S8" s="11">
        <v>66.2</v>
      </c>
      <c r="T8" s="8">
        <v>16</v>
      </c>
      <c r="U8" s="11">
        <v>58.5</v>
      </c>
      <c r="V8" s="8">
        <v>17</v>
      </c>
      <c r="W8" s="11">
        <v>52.1</v>
      </c>
      <c r="X8" s="8">
        <v>18</v>
      </c>
      <c r="Y8" s="11">
        <v>46.7</v>
      </c>
      <c r="Z8" s="8">
        <v>19</v>
      </c>
      <c r="AA8" s="11">
        <v>42.1</v>
      </c>
      <c r="AB8" s="8">
        <v>20</v>
      </c>
      <c r="AC8" s="11">
        <v>38.1</v>
      </c>
      <c r="AD8" s="8">
        <v>21</v>
      </c>
      <c r="AE8" s="11">
        <v>34.700000000000003</v>
      </c>
      <c r="AF8" s="8">
        <v>22</v>
      </c>
      <c r="AG8" s="11">
        <v>31.7</v>
      </c>
      <c r="AH8" s="8">
        <v>23</v>
      </c>
      <c r="AI8" s="11">
        <v>29.1</v>
      </c>
      <c r="AJ8" s="8">
        <v>24</v>
      </c>
      <c r="AK8" s="11">
        <v>26.8</v>
      </c>
      <c r="AL8" s="8">
        <v>25</v>
      </c>
      <c r="AM8" s="11">
        <v>24.8</v>
      </c>
      <c r="AN8" s="8">
        <v>26</v>
      </c>
      <c r="AO8" s="11">
        <v>23</v>
      </c>
      <c r="AP8" s="8">
        <v>27</v>
      </c>
      <c r="AQ8" s="11">
        <v>21.4</v>
      </c>
      <c r="AR8" s="8">
        <v>28</v>
      </c>
      <c r="AS8" s="8">
        <v>19.899999999999999</v>
      </c>
      <c r="AT8" s="8">
        <v>29</v>
      </c>
      <c r="AU8" s="11">
        <v>18.600000000000001</v>
      </c>
      <c r="AV8" s="8">
        <v>30</v>
      </c>
      <c r="AW8" s="11">
        <v>17.399999999999999</v>
      </c>
    </row>
    <row r="9" spans="2:59" x14ac:dyDescent="0.2">
      <c r="B9" s="8">
        <v>8</v>
      </c>
      <c r="C9" s="11">
        <v>306.5</v>
      </c>
      <c r="D9" s="8">
        <v>9</v>
      </c>
      <c r="E9" s="11">
        <v>238.1</v>
      </c>
      <c r="F9" s="8">
        <v>10</v>
      </c>
      <c r="G9" s="11">
        <v>190.8</v>
      </c>
      <c r="H9" s="8">
        <v>11</v>
      </c>
      <c r="I9" s="11">
        <v>156.69999999999999</v>
      </c>
      <c r="J9" s="8">
        <v>12</v>
      </c>
      <c r="K9" s="8">
        <v>131.1</v>
      </c>
      <c r="L9" s="8">
        <v>13</v>
      </c>
      <c r="M9" s="11">
        <v>111.4</v>
      </c>
      <c r="N9" s="8">
        <v>14</v>
      </c>
      <c r="O9" s="11">
        <v>96</v>
      </c>
      <c r="P9" s="8">
        <v>15</v>
      </c>
      <c r="Q9" s="11">
        <v>83.5</v>
      </c>
      <c r="R9" s="8">
        <v>16</v>
      </c>
      <c r="S9" s="11">
        <v>73.400000000000006</v>
      </c>
      <c r="T9" s="8">
        <v>17</v>
      </c>
      <c r="U9" s="11">
        <v>65</v>
      </c>
      <c r="V9" s="8">
        <v>18</v>
      </c>
      <c r="W9" s="11">
        <v>58</v>
      </c>
      <c r="X9" s="8">
        <v>19</v>
      </c>
      <c r="Y9" s="11">
        <v>52.1</v>
      </c>
      <c r="Z9" s="8">
        <v>20</v>
      </c>
      <c r="AA9" s="11">
        <v>47.1</v>
      </c>
      <c r="AB9" s="8">
        <v>21</v>
      </c>
      <c r="AC9" s="11">
        <v>42.7</v>
      </c>
      <c r="AD9" s="8">
        <v>22</v>
      </c>
      <c r="AE9" s="11">
        <v>39</v>
      </c>
      <c r="AF9" s="8">
        <v>23</v>
      </c>
      <c r="AG9" s="11">
        <v>35.700000000000003</v>
      </c>
      <c r="AH9" s="8">
        <v>24</v>
      </c>
      <c r="AI9" s="11">
        <v>32.799999999999997</v>
      </c>
      <c r="AJ9" s="8">
        <v>25</v>
      </c>
      <c r="AK9" s="11">
        <v>30.2</v>
      </c>
      <c r="AL9" s="8">
        <v>26</v>
      </c>
      <c r="AM9" s="11">
        <v>28</v>
      </c>
      <c r="AN9" s="8">
        <v>27</v>
      </c>
      <c r="AO9" s="11">
        <v>26</v>
      </c>
      <c r="AP9" s="8">
        <v>28</v>
      </c>
      <c r="AQ9" s="11">
        <v>24.2</v>
      </c>
      <c r="AR9" s="8">
        <v>29</v>
      </c>
      <c r="AS9" s="8">
        <v>22.5</v>
      </c>
      <c r="AT9" s="8">
        <v>30</v>
      </c>
      <c r="AU9" s="11">
        <v>21.1</v>
      </c>
    </row>
    <row r="10" spans="2:59" x14ac:dyDescent="0.2">
      <c r="B10" s="8">
        <v>9</v>
      </c>
      <c r="C10" s="11">
        <v>323.89999999999998</v>
      </c>
      <c r="D10" s="8">
        <v>10</v>
      </c>
      <c r="E10" s="11">
        <v>253</v>
      </c>
      <c r="F10" s="8">
        <v>11</v>
      </c>
      <c r="G10" s="11">
        <v>203.8</v>
      </c>
      <c r="H10" s="8">
        <v>12</v>
      </c>
      <c r="I10" s="11">
        <v>168</v>
      </c>
      <c r="J10" s="8">
        <v>13</v>
      </c>
      <c r="K10" s="8">
        <v>141.1</v>
      </c>
      <c r="L10" s="8">
        <v>14</v>
      </c>
      <c r="M10" s="11">
        <v>120.4</v>
      </c>
      <c r="N10" s="8">
        <v>15</v>
      </c>
      <c r="O10" s="11">
        <v>104</v>
      </c>
      <c r="P10" s="8">
        <v>16</v>
      </c>
      <c r="Q10" s="11">
        <v>90.7</v>
      </c>
      <c r="R10" s="8">
        <v>17</v>
      </c>
      <c r="S10" s="11">
        <v>79.900000000000006</v>
      </c>
      <c r="T10" s="8">
        <v>18</v>
      </c>
      <c r="U10" s="11">
        <v>71</v>
      </c>
      <c r="V10" s="8">
        <v>19</v>
      </c>
      <c r="W10" s="11">
        <v>63.5</v>
      </c>
      <c r="X10" s="8">
        <v>20</v>
      </c>
      <c r="Y10" s="11">
        <v>57.1</v>
      </c>
      <c r="Z10" s="8">
        <v>21</v>
      </c>
      <c r="AA10" s="11">
        <v>51.7</v>
      </c>
      <c r="AB10" s="8">
        <v>22</v>
      </c>
      <c r="AC10" s="11">
        <v>47</v>
      </c>
      <c r="AD10" s="8">
        <v>23</v>
      </c>
      <c r="AE10" s="11">
        <v>42.9</v>
      </c>
      <c r="AF10" s="8">
        <v>24</v>
      </c>
      <c r="AG10" s="11">
        <v>39.299999999999997</v>
      </c>
      <c r="AH10" s="8">
        <v>25</v>
      </c>
      <c r="AI10" s="11">
        <v>36.200000000000003</v>
      </c>
      <c r="AJ10" s="8">
        <v>26</v>
      </c>
      <c r="AK10" s="11">
        <v>33.4</v>
      </c>
      <c r="AL10" s="8">
        <v>27</v>
      </c>
      <c r="AM10" s="11">
        <v>31</v>
      </c>
      <c r="AN10" s="8">
        <v>28</v>
      </c>
      <c r="AO10" s="11">
        <v>28.8</v>
      </c>
      <c r="AP10" s="8">
        <v>29</v>
      </c>
      <c r="AQ10" s="11">
        <v>26.8</v>
      </c>
      <c r="AR10" s="8">
        <v>30</v>
      </c>
      <c r="AS10" s="8">
        <v>25</v>
      </c>
    </row>
    <row r="11" spans="2:59" x14ac:dyDescent="0.2">
      <c r="B11" s="8">
        <v>10</v>
      </c>
      <c r="C11" s="11">
        <v>338.8</v>
      </c>
      <c r="D11" s="8">
        <v>11</v>
      </c>
      <c r="E11" s="11">
        <v>265.89999999999998</v>
      </c>
      <c r="F11" s="8">
        <v>12</v>
      </c>
      <c r="G11" s="11">
        <v>215.1</v>
      </c>
      <c r="H11" s="8">
        <v>13</v>
      </c>
      <c r="I11" s="11">
        <v>178</v>
      </c>
      <c r="J11" s="8">
        <v>14</v>
      </c>
      <c r="K11" s="8">
        <v>150.1</v>
      </c>
      <c r="L11" s="8">
        <v>15</v>
      </c>
      <c r="M11" s="11">
        <v>128.4</v>
      </c>
      <c r="N11" s="8">
        <v>16</v>
      </c>
      <c r="O11" s="11">
        <v>111.2</v>
      </c>
      <c r="P11" s="8">
        <v>17</v>
      </c>
      <c r="Q11" s="11">
        <v>97.3</v>
      </c>
      <c r="R11" s="8">
        <v>18</v>
      </c>
      <c r="S11" s="11">
        <v>85.9</v>
      </c>
      <c r="T11" s="8">
        <v>19</v>
      </c>
      <c r="U11" s="11">
        <v>76.400000000000006</v>
      </c>
      <c r="V11" s="8">
        <v>20</v>
      </c>
      <c r="W11" s="11">
        <v>68.5</v>
      </c>
      <c r="X11" s="8">
        <v>21</v>
      </c>
      <c r="Y11" s="11">
        <v>61.7</v>
      </c>
      <c r="Z11" s="8">
        <v>22</v>
      </c>
      <c r="AA11" s="11">
        <v>55.9</v>
      </c>
      <c r="AB11" s="8">
        <v>23</v>
      </c>
      <c r="AC11" s="11">
        <v>50.9</v>
      </c>
      <c r="AD11" s="8">
        <v>24</v>
      </c>
      <c r="AE11" s="11">
        <v>46.5</v>
      </c>
      <c r="AF11" s="8">
        <v>25</v>
      </c>
      <c r="AG11" s="11">
        <v>42.7</v>
      </c>
      <c r="AH11" s="8">
        <v>26</v>
      </c>
      <c r="AI11" s="11">
        <v>39.4</v>
      </c>
      <c r="AJ11" s="8">
        <v>27</v>
      </c>
      <c r="AK11" s="11">
        <v>36.4</v>
      </c>
      <c r="AL11" s="8">
        <v>28</v>
      </c>
      <c r="AM11" s="11">
        <v>33.700000000000003</v>
      </c>
      <c r="AN11" s="8">
        <v>29</v>
      </c>
      <c r="AO11" s="11">
        <v>31.4</v>
      </c>
      <c r="AP11" s="8">
        <v>30</v>
      </c>
      <c r="AQ11" s="11">
        <v>29.3</v>
      </c>
    </row>
    <row r="12" spans="2:59" x14ac:dyDescent="0.2">
      <c r="B12" s="8">
        <v>11</v>
      </c>
      <c r="C12" s="11">
        <v>351.7</v>
      </c>
      <c r="D12" s="8">
        <v>12</v>
      </c>
      <c r="E12" s="11">
        <v>277.3</v>
      </c>
      <c r="F12" s="8">
        <v>13</v>
      </c>
      <c r="G12" s="11">
        <v>225.1</v>
      </c>
      <c r="H12" s="8">
        <v>14</v>
      </c>
      <c r="I12" s="11">
        <v>187</v>
      </c>
      <c r="J12" s="8">
        <v>15</v>
      </c>
      <c r="K12" s="8">
        <v>158.1</v>
      </c>
      <c r="L12" s="8">
        <v>16</v>
      </c>
      <c r="M12" s="11">
        <v>135.6</v>
      </c>
      <c r="N12" s="8">
        <v>17</v>
      </c>
      <c r="O12" s="11">
        <v>117.7</v>
      </c>
      <c r="P12" s="8">
        <v>18</v>
      </c>
      <c r="Q12" s="11">
        <v>103.2</v>
      </c>
      <c r="R12" s="8">
        <v>19</v>
      </c>
      <c r="S12" s="11">
        <v>91.3</v>
      </c>
      <c r="T12" s="8">
        <v>20</v>
      </c>
      <c r="U12" s="11">
        <v>81.400000000000006</v>
      </c>
      <c r="V12" s="8">
        <v>21</v>
      </c>
      <c r="W12" s="11">
        <v>73</v>
      </c>
      <c r="X12" s="8">
        <v>22</v>
      </c>
      <c r="Y12" s="11">
        <v>65.900000000000006</v>
      </c>
      <c r="Z12" s="8">
        <v>23</v>
      </c>
      <c r="AA12" s="11">
        <v>59.8</v>
      </c>
      <c r="AB12" s="8">
        <v>24</v>
      </c>
      <c r="AC12" s="11">
        <v>54.5</v>
      </c>
      <c r="AD12" s="8">
        <v>25</v>
      </c>
      <c r="AE12" s="11">
        <v>49.9</v>
      </c>
      <c r="AF12" s="8">
        <v>26</v>
      </c>
      <c r="AG12" s="11">
        <v>45.9</v>
      </c>
      <c r="AH12" s="8">
        <v>27</v>
      </c>
      <c r="AI12" s="11">
        <v>42.3</v>
      </c>
      <c r="AJ12" s="8">
        <v>28</v>
      </c>
      <c r="AK12" s="11">
        <v>39.200000000000003</v>
      </c>
      <c r="AL12" s="8">
        <v>29</v>
      </c>
      <c r="AM12" s="11">
        <v>36.4</v>
      </c>
      <c r="AN12" s="8">
        <v>30</v>
      </c>
      <c r="AO12" s="11">
        <v>33.799999999999997</v>
      </c>
    </row>
    <row r="13" spans="2:59" x14ac:dyDescent="0.2">
      <c r="B13" s="8">
        <v>12</v>
      </c>
      <c r="C13" s="11">
        <v>363.1</v>
      </c>
      <c r="D13" s="8">
        <v>13</v>
      </c>
      <c r="E13" s="11">
        <v>287.3</v>
      </c>
      <c r="F13" s="8">
        <v>14</v>
      </c>
      <c r="G13" s="11">
        <v>234.1</v>
      </c>
      <c r="H13" s="8">
        <v>15</v>
      </c>
      <c r="I13" s="11">
        <v>195</v>
      </c>
      <c r="J13" s="8">
        <v>16</v>
      </c>
      <c r="K13" s="8">
        <v>165.3</v>
      </c>
      <c r="L13" s="8">
        <v>17</v>
      </c>
      <c r="M13" s="11">
        <v>142.1</v>
      </c>
      <c r="N13" s="8">
        <v>18</v>
      </c>
      <c r="O13" s="11">
        <v>123.7</v>
      </c>
      <c r="P13" s="8">
        <v>19</v>
      </c>
      <c r="Q13" s="11">
        <v>108.7</v>
      </c>
      <c r="R13" s="8">
        <v>20</v>
      </c>
      <c r="S13" s="11">
        <v>96.3</v>
      </c>
      <c r="T13" s="8">
        <v>21</v>
      </c>
      <c r="U13" s="11">
        <v>86</v>
      </c>
      <c r="V13" s="8">
        <v>22</v>
      </c>
      <c r="W13" s="11">
        <v>77.3</v>
      </c>
      <c r="X13" s="8">
        <v>23</v>
      </c>
      <c r="Y13" s="11">
        <v>69.900000000000006</v>
      </c>
      <c r="Z13" s="8">
        <v>24</v>
      </c>
      <c r="AA13" s="11">
        <v>63.5</v>
      </c>
      <c r="AB13" s="8">
        <v>25</v>
      </c>
      <c r="AC13" s="11">
        <v>57.9</v>
      </c>
      <c r="AD13" s="8">
        <v>26</v>
      </c>
      <c r="AE13" s="11">
        <v>53.1</v>
      </c>
      <c r="AF13" s="8">
        <v>27</v>
      </c>
      <c r="AG13" s="11">
        <v>48.9</v>
      </c>
      <c r="AH13" s="8">
        <v>28</v>
      </c>
      <c r="AI13" s="11">
        <v>45.1</v>
      </c>
      <c r="AJ13" s="8">
        <v>29</v>
      </c>
      <c r="AK13" s="11">
        <v>41.8</v>
      </c>
      <c r="AL13" s="8">
        <v>30</v>
      </c>
      <c r="AM13" s="11">
        <v>38.799999999999997</v>
      </c>
    </row>
    <row r="14" spans="2:59" x14ac:dyDescent="0.2">
      <c r="B14" s="8">
        <v>13</v>
      </c>
      <c r="C14" s="11">
        <v>373.1</v>
      </c>
      <c r="D14" s="8">
        <v>14</v>
      </c>
      <c r="E14" s="11">
        <v>296.2</v>
      </c>
      <c r="F14" s="8">
        <v>15</v>
      </c>
      <c r="G14" s="11">
        <v>242.1</v>
      </c>
      <c r="H14" s="8">
        <v>16</v>
      </c>
      <c r="I14" s="11">
        <v>202.2</v>
      </c>
      <c r="J14" s="8">
        <v>17</v>
      </c>
      <c r="K14" s="8">
        <v>171.8</v>
      </c>
      <c r="L14" s="8">
        <v>18</v>
      </c>
      <c r="M14" s="11">
        <v>148.1</v>
      </c>
      <c r="N14" s="8">
        <v>19</v>
      </c>
      <c r="O14" s="11">
        <v>129.1</v>
      </c>
      <c r="P14" s="8">
        <v>20</v>
      </c>
      <c r="Q14" s="11">
        <v>113.7</v>
      </c>
      <c r="R14" s="8">
        <v>21</v>
      </c>
      <c r="S14" s="11">
        <v>100.9</v>
      </c>
      <c r="T14" s="8">
        <v>22</v>
      </c>
      <c r="U14" s="11">
        <v>90.2</v>
      </c>
      <c r="V14" s="8">
        <v>23</v>
      </c>
      <c r="W14" s="11">
        <v>81.2</v>
      </c>
      <c r="X14" s="8">
        <v>24</v>
      </c>
      <c r="Y14" s="11">
        <v>73.5</v>
      </c>
      <c r="Z14" s="8">
        <v>25</v>
      </c>
      <c r="AA14" s="11">
        <v>66.900000000000006</v>
      </c>
      <c r="AB14" s="8">
        <v>26</v>
      </c>
      <c r="AC14" s="11">
        <v>61.1</v>
      </c>
      <c r="AD14" s="8">
        <v>27</v>
      </c>
      <c r="AE14" s="11">
        <v>56.1</v>
      </c>
      <c r="AF14" s="8">
        <v>28</v>
      </c>
      <c r="AG14" s="11">
        <v>51.7</v>
      </c>
      <c r="AH14" s="8">
        <v>29</v>
      </c>
      <c r="AI14" s="11">
        <v>47.7</v>
      </c>
      <c r="AJ14" s="8">
        <v>30</v>
      </c>
      <c r="AK14" s="11">
        <v>44.3</v>
      </c>
    </row>
    <row r="15" spans="2:59" x14ac:dyDescent="0.2">
      <c r="B15" s="8">
        <v>14</v>
      </c>
      <c r="C15" s="11">
        <v>382.1</v>
      </c>
      <c r="D15" s="8">
        <v>15</v>
      </c>
      <c r="E15" s="11">
        <v>304.3</v>
      </c>
      <c r="F15" s="8">
        <v>16</v>
      </c>
      <c r="G15" s="11">
        <v>249.3</v>
      </c>
      <c r="H15" s="8">
        <v>17</v>
      </c>
      <c r="I15" s="11">
        <v>208.7</v>
      </c>
      <c r="J15" s="8">
        <v>18</v>
      </c>
      <c r="K15" s="8">
        <v>177.8</v>
      </c>
      <c r="L15" s="8">
        <v>19</v>
      </c>
      <c r="M15" s="11">
        <v>153.5</v>
      </c>
      <c r="N15" s="8">
        <v>20</v>
      </c>
      <c r="O15" s="11">
        <v>134.1</v>
      </c>
      <c r="P15" s="8">
        <v>21</v>
      </c>
      <c r="Q15" s="11">
        <v>118.2</v>
      </c>
      <c r="R15" s="8">
        <v>22</v>
      </c>
      <c r="S15" s="11">
        <v>105.1</v>
      </c>
      <c r="T15" s="8">
        <v>23</v>
      </c>
      <c r="U15" s="11">
        <v>94.2</v>
      </c>
      <c r="V15" s="8">
        <v>24</v>
      </c>
      <c r="W15" s="11">
        <v>84.9</v>
      </c>
      <c r="X15" s="8">
        <v>25</v>
      </c>
      <c r="Y15" s="11">
        <v>76.900000000000006</v>
      </c>
      <c r="Z15" s="8">
        <v>26</v>
      </c>
      <c r="AA15" s="11">
        <v>70.099999999999994</v>
      </c>
      <c r="AB15" s="8">
        <v>27</v>
      </c>
      <c r="AC15" s="11">
        <v>64.099999999999994</v>
      </c>
      <c r="AD15" s="8">
        <v>28</v>
      </c>
      <c r="AE15" s="11">
        <v>58.9</v>
      </c>
      <c r="AF15" s="8">
        <v>29</v>
      </c>
      <c r="AG15" s="11">
        <v>54.3</v>
      </c>
      <c r="AH15" s="8">
        <v>30</v>
      </c>
      <c r="AI15" s="11">
        <v>50.2</v>
      </c>
    </row>
    <row r="16" spans="2:59" x14ac:dyDescent="0.2">
      <c r="B16" s="8">
        <v>15</v>
      </c>
      <c r="C16" s="11">
        <v>390.1</v>
      </c>
      <c r="D16" s="8">
        <v>16</v>
      </c>
      <c r="E16" s="11">
        <v>311.5</v>
      </c>
      <c r="F16" s="8">
        <v>17</v>
      </c>
      <c r="G16" s="11">
        <v>255.8</v>
      </c>
      <c r="H16" s="8">
        <v>18</v>
      </c>
      <c r="I16" s="11">
        <v>214.7</v>
      </c>
      <c r="J16" s="8">
        <v>19</v>
      </c>
      <c r="K16" s="8">
        <v>183.2</v>
      </c>
      <c r="L16" s="8">
        <v>20</v>
      </c>
      <c r="M16" s="11">
        <v>158.5</v>
      </c>
      <c r="N16" s="8">
        <v>21</v>
      </c>
      <c r="O16" s="11">
        <v>138.69999999999999</v>
      </c>
      <c r="P16" s="8">
        <v>22</v>
      </c>
      <c r="Q16" s="11">
        <v>122.5</v>
      </c>
      <c r="R16" s="8">
        <v>23</v>
      </c>
      <c r="S16" s="11">
        <v>109.1</v>
      </c>
      <c r="T16" s="8">
        <v>24</v>
      </c>
      <c r="U16" s="11">
        <v>97.8</v>
      </c>
      <c r="V16" s="8">
        <v>25</v>
      </c>
      <c r="W16" s="11">
        <v>88.3</v>
      </c>
      <c r="X16" s="8">
        <v>26</v>
      </c>
      <c r="Y16" s="11">
        <v>80.099999999999994</v>
      </c>
      <c r="Z16" s="8">
        <v>27</v>
      </c>
      <c r="AA16" s="11">
        <v>73</v>
      </c>
      <c r="AB16" s="8">
        <v>28</v>
      </c>
      <c r="AC16" s="11">
        <v>66.900000000000006</v>
      </c>
      <c r="AD16" s="8">
        <v>29</v>
      </c>
      <c r="AE16" s="11">
        <v>61.5</v>
      </c>
      <c r="AF16" s="8">
        <v>30</v>
      </c>
      <c r="AG16" s="11">
        <v>56.8</v>
      </c>
    </row>
    <row r="17" spans="2:31" x14ac:dyDescent="0.2">
      <c r="B17" s="8">
        <v>16</v>
      </c>
      <c r="C17" s="11">
        <v>397.3</v>
      </c>
      <c r="D17" s="8">
        <v>17</v>
      </c>
      <c r="E17" s="11">
        <v>318</v>
      </c>
      <c r="F17" s="8">
        <v>18</v>
      </c>
      <c r="G17" s="11">
        <v>261.8</v>
      </c>
      <c r="H17" s="8">
        <v>19</v>
      </c>
      <c r="I17" s="11">
        <v>220.1</v>
      </c>
      <c r="J17" s="8">
        <v>20</v>
      </c>
      <c r="K17" s="9">
        <v>188.2</v>
      </c>
      <c r="L17" s="8">
        <v>21</v>
      </c>
      <c r="M17" s="11">
        <v>163.1</v>
      </c>
      <c r="N17" s="8">
        <v>22</v>
      </c>
      <c r="O17" s="11">
        <v>142.9</v>
      </c>
      <c r="P17" s="8">
        <v>23</v>
      </c>
      <c r="Q17" s="11">
        <v>126.4</v>
      </c>
      <c r="R17" s="8">
        <v>24</v>
      </c>
      <c r="S17" s="11">
        <v>112.7</v>
      </c>
      <c r="T17" s="8">
        <v>25</v>
      </c>
      <c r="U17" s="11">
        <v>101.2</v>
      </c>
      <c r="V17" s="8">
        <v>26</v>
      </c>
      <c r="W17" s="11">
        <v>91.5</v>
      </c>
      <c r="X17" s="8">
        <v>27</v>
      </c>
      <c r="Y17" s="11">
        <v>83.1</v>
      </c>
      <c r="Z17" s="8">
        <v>28</v>
      </c>
      <c r="AA17" s="11">
        <v>75.8</v>
      </c>
      <c r="AB17" s="8">
        <v>29</v>
      </c>
      <c r="AC17" s="11">
        <v>69.5</v>
      </c>
      <c r="AD17" s="8">
        <v>30</v>
      </c>
      <c r="AE17" s="11">
        <v>64</v>
      </c>
    </row>
    <row r="18" spans="2:31" x14ac:dyDescent="0.2">
      <c r="B18" s="8">
        <v>17</v>
      </c>
      <c r="C18" s="11">
        <v>403.8</v>
      </c>
      <c r="D18" s="8">
        <v>18</v>
      </c>
      <c r="E18" s="11">
        <v>324</v>
      </c>
      <c r="F18" s="8">
        <v>19</v>
      </c>
      <c r="G18" s="11">
        <v>267.2</v>
      </c>
      <c r="H18" s="8">
        <v>20</v>
      </c>
      <c r="I18" s="11">
        <v>225.1</v>
      </c>
      <c r="J18" s="8">
        <v>21</v>
      </c>
      <c r="K18" s="8">
        <v>192.8</v>
      </c>
      <c r="L18" s="8">
        <v>22</v>
      </c>
      <c r="M18" s="11">
        <v>167.3</v>
      </c>
      <c r="N18" s="8">
        <v>23</v>
      </c>
      <c r="O18" s="11">
        <v>146.80000000000001</v>
      </c>
      <c r="P18" s="8">
        <v>24</v>
      </c>
      <c r="Q18" s="11">
        <v>130.1</v>
      </c>
      <c r="R18" s="8">
        <v>25</v>
      </c>
      <c r="S18" s="11">
        <v>116.1</v>
      </c>
      <c r="T18" s="8">
        <v>26</v>
      </c>
      <c r="U18" s="11">
        <v>104.4</v>
      </c>
      <c r="V18" s="8">
        <v>27</v>
      </c>
      <c r="W18" s="11">
        <v>94.4</v>
      </c>
      <c r="X18" s="8">
        <v>28</v>
      </c>
      <c r="Y18" s="11">
        <v>85.9</v>
      </c>
      <c r="Z18" s="8">
        <v>29</v>
      </c>
      <c r="AA18" s="11">
        <v>78.400000000000006</v>
      </c>
      <c r="AB18" s="8">
        <v>30</v>
      </c>
      <c r="AC18" s="11">
        <v>72</v>
      </c>
    </row>
    <row r="19" spans="2:31" x14ac:dyDescent="0.2">
      <c r="B19" s="8">
        <v>18</v>
      </c>
      <c r="C19" s="11">
        <v>409.8</v>
      </c>
      <c r="D19" s="8">
        <v>19</v>
      </c>
      <c r="E19" s="11">
        <v>329.4</v>
      </c>
      <c r="F19" s="8">
        <v>20</v>
      </c>
      <c r="G19" s="11">
        <v>272.2</v>
      </c>
      <c r="H19" s="8">
        <v>21</v>
      </c>
      <c r="I19" s="11">
        <v>229.7</v>
      </c>
      <c r="J19" s="8">
        <v>22</v>
      </c>
      <c r="K19" s="8">
        <v>197</v>
      </c>
      <c r="L19" s="8">
        <v>23</v>
      </c>
      <c r="M19" s="11">
        <v>171.3</v>
      </c>
      <c r="N19" s="8">
        <v>24</v>
      </c>
      <c r="O19" s="11">
        <v>150.5</v>
      </c>
      <c r="P19" s="8">
        <v>25</v>
      </c>
      <c r="Q19" s="11">
        <v>133.5</v>
      </c>
      <c r="R19" s="8">
        <v>26</v>
      </c>
      <c r="S19" s="11">
        <v>119.3</v>
      </c>
      <c r="T19" s="8">
        <v>27</v>
      </c>
      <c r="U19" s="11">
        <v>107.4</v>
      </c>
      <c r="V19" s="8">
        <v>28</v>
      </c>
      <c r="W19" s="11">
        <v>97.2</v>
      </c>
      <c r="X19" s="8">
        <v>29</v>
      </c>
      <c r="Y19" s="11">
        <v>88.5</v>
      </c>
      <c r="Z19" s="8">
        <v>30</v>
      </c>
      <c r="AA19" s="11">
        <v>80.900000000000006</v>
      </c>
    </row>
    <row r="20" spans="2:31" x14ac:dyDescent="0.2">
      <c r="B20" s="8">
        <v>19</v>
      </c>
      <c r="C20" s="11">
        <v>415.2</v>
      </c>
      <c r="D20" s="8">
        <v>20</v>
      </c>
      <c r="E20" s="11">
        <v>334.4</v>
      </c>
      <c r="F20" s="8">
        <v>21</v>
      </c>
      <c r="G20" s="11">
        <v>276.8</v>
      </c>
      <c r="H20" s="8">
        <v>22</v>
      </c>
      <c r="I20" s="11">
        <v>233.9</v>
      </c>
      <c r="J20" s="8">
        <v>23</v>
      </c>
      <c r="K20" s="8">
        <v>201</v>
      </c>
      <c r="L20" s="8">
        <v>24</v>
      </c>
      <c r="M20" s="11">
        <v>174.9</v>
      </c>
      <c r="N20" s="8">
        <v>25</v>
      </c>
      <c r="O20" s="11">
        <v>153.9</v>
      </c>
      <c r="P20" s="8">
        <v>26</v>
      </c>
      <c r="Q20" s="11">
        <v>136.69999999999999</v>
      </c>
      <c r="R20" s="8">
        <v>27</v>
      </c>
      <c r="S20" s="11">
        <v>122.3</v>
      </c>
      <c r="T20" s="8">
        <v>28</v>
      </c>
      <c r="U20" s="11">
        <v>110.2</v>
      </c>
      <c r="V20" s="8">
        <v>29</v>
      </c>
      <c r="W20" s="11">
        <v>99.8</v>
      </c>
      <c r="X20" s="8">
        <v>30</v>
      </c>
      <c r="Y20" s="11">
        <v>90.9</v>
      </c>
    </row>
    <row r="21" spans="2:31" x14ac:dyDescent="0.2">
      <c r="B21" s="8">
        <v>20</v>
      </c>
      <c r="C21" s="11">
        <v>420.2</v>
      </c>
      <c r="D21" s="8">
        <v>21</v>
      </c>
      <c r="E21" s="11">
        <v>339</v>
      </c>
      <c r="F21" s="8">
        <v>22</v>
      </c>
      <c r="G21" s="11">
        <v>281</v>
      </c>
      <c r="H21" s="8">
        <v>23</v>
      </c>
      <c r="I21" s="11">
        <v>237.9</v>
      </c>
      <c r="J21" s="8">
        <v>24</v>
      </c>
      <c r="K21" s="8">
        <v>204.6</v>
      </c>
      <c r="L21" s="8">
        <v>25</v>
      </c>
      <c r="M21" s="11">
        <v>178.3</v>
      </c>
      <c r="N21" s="8">
        <v>26</v>
      </c>
      <c r="O21" s="11">
        <v>157.1</v>
      </c>
      <c r="P21" s="8">
        <v>27</v>
      </c>
      <c r="Q21" s="11">
        <v>139.6</v>
      </c>
      <c r="R21" s="8">
        <v>28</v>
      </c>
      <c r="S21" s="11">
        <v>125.1</v>
      </c>
      <c r="T21" s="8">
        <v>29</v>
      </c>
      <c r="U21" s="11">
        <v>112.8</v>
      </c>
      <c r="V21" s="8">
        <v>30</v>
      </c>
      <c r="W21" s="11">
        <v>102.3</v>
      </c>
    </row>
    <row r="22" spans="2:31" x14ac:dyDescent="0.2">
      <c r="B22" s="8">
        <v>21</v>
      </c>
      <c r="C22" s="11">
        <v>424.8</v>
      </c>
      <c r="D22" s="8">
        <v>22</v>
      </c>
      <c r="E22" s="11">
        <v>343.2</v>
      </c>
      <c r="F22" s="8">
        <v>23</v>
      </c>
      <c r="G22" s="11">
        <v>285</v>
      </c>
      <c r="H22" s="8">
        <v>24</v>
      </c>
      <c r="I22" s="11">
        <v>241.5</v>
      </c>
      <c r="J22" s="8">
        <v>25</v>
      </c>
      <c r="K22" s="8">
        <v>208</v>
      </c>
      <c r="L22" s="8">
        <v>26</v>
      </c>
      <c r="M22" s="11">
        <v>181.5</v>
      </c>
      <c r="N22" s="8">
        <v>27</v>
      </c>
      <c r="O22" s="11">
        <v>160.1</v>
      </c>
      <c r="P22" s="8">
        <v>28</v>
      </c>
      <c r="Q22" s="11">
        <v>142.4</v>
      </c>
      <c r="R22" s="8">
        <v>29</v>
      </c>
      <c r="S22" s="11">
        <v>127.7</v>
      </c>
      <c r="T22" s="8">
        <v>30</v>
      </c>
      <c r="U22" s="11">
        <v>115.3</v>
      </c>
    </row>
    <row r="23" spans="2:31" x14ac:dyDescent="0.2">
      <c r="B23" s="8">
        <v>22</v>
      </c>
      <c r="C23" s="11">
        <v>429</v>
      </c>
      <c r="D23" s="8">
        <v>23</v>
      </c>
      <c r="E23" s="11">
        <v>347.1</v>
      </c>
      <c r="F23" s="8">
        <v>24</v>
      </c>
      <c r="G23" s="11">
        <v>288.60000000000002</v>
      </c>
      <c r="H23" s="8">
        <v>25</v>
      </c>
      <c r="I23" s="11">
        <v>244.9</v>
      </c>
      <c r="J23" s="8">
        <v>26</v>
      </c>
      <c r="K23" s="11">
        <v>211.2</v>
      </c>
      <c r="L23" s="8">
        <v>27</v>
      </c>
      <c r="M23" s="11">
        <v>184.5</v>
      </c>
      <c r="N23" s="8">
        <v>28</v>
      </c>
      <c r="O23" s="11">
        <v>162.80000000000001</v>
      </c>
      <c r="P23" s="8">
        <v>29</v>
      </c>
      <c r="Q23" s="11">
        <v>145</v>
      </c>
      <c r="R23" s="8">
        <v>30</v>
      </c>
      <c r="S23" s="11">
        <v>130.19999999999999</v>
      </c>
    </row>
    <row r="24" spans="2:31" x14ac:dyDescent="0.2">
      <c r="B24" s="8">
        <v>23</v>
      </c>
      <c r="C24" s="11">
        <v>433</v>
      </c>
      <c r="D24" s="8">
        <v>24</v>
      </c>
      <c r="E24" s="11">
        <v>350.8</v>
      </c>
      <c r="F24" s="8">
        <v>25</v>
      </c>
      <c r="G24" s="11">
        <v>292</v>
      </c>
      <c r="H24" s="8">
        <v>26</v>
      </c>
      <c r="I24" s="11">
        <v>248.1</v>
      </c>
      <c r="J24" s="8">
        <v>27</v>
      </c>
      <c r="K24" s="8">
        <v>214.2</v>
      </c>
      <c r="L24" s="8">
        <v>28</v>
      </c>
      <c r="M24" s="11">
        <v>187.3</v>
      </c>
      <c r="N24" s="8">
        <v>29</v>
      </c>
      <c r="O24" s="11">
        <v>165.5</v>
      </c>
      <c r="P24" s="8">
        <v>30</v>
      </c>
      <c r="Q24" s="11">
        <v>147.5</v>
      </c>
    </row>
    <row r="25" spans="2:31" x14ac:dyDescent="0.2">
      <c r="B25" s="8">
        <v>24</v>
      </c>
      <c r="C25" s="11">
        <v>436.6</v>
      </c>
      <c r="D25" s="8">
        <v>25</v>
      </c>
      <c r="E25" s="11">
        <v>354.2</v>
      </c>
      <c r="F25" s="8">
        <v>26</v>
      </c>
      <c r="G25" s="11">
        <v>295.2</v>
      </c>
      <c r="H25" s="8">
        <v>27</v>
      </c>
      <c r="I25" s="11">
        <v>251.1</v>
      </c>
      <c r="J25" s="8">
        <v>28</v>
      </c>
      <c r="K25" s="8">
        <v>217</v>
      </c>
      <c r="L25" s="8">
        <v>29</v>
      </c>
      <c r="M25" s="11">
        <v>189.9</v>
      </c>
      <c r="N25" s="8">
        <v>30</v>
      </c>
      <c r="O25" s="11">
        <v>167.9</v>
      </c>
    </row>
    <row r="26" spans="2:31" ht="18" x14ac:dyDescent="0.2">
      <c r="B26" s="8">
        <v>25</v>
      </c>
      <c r="C26" s="11">
        <v>440</v>
      </c>
      <c r="D26" s="8">
        <v>26</v>
      </c>
      <c r="E26" s="11">
        <v>357.4</v>
      </c>
      <c r="F26" s="8">
        <v>27</v>
      </c>
      <c r="G26" s="11">
        <v>298.2</v>
      </c>
      <c r="H26" s="8">
        <v>28</v>
      </c>
      <c r="I26" s="11">
        <v>253.9</v>
      </c>
      <c r="J26" s="8">
        <v>29</v>
      </c>
      <c r="K26" s="8">
        <v>219.6</v>
      </c>
      <c r="L26" s="8">
        <v>30</v>
      </c>
      <c r="M26" s="11">
        <v>192.3</v>
      </c>
      <c r="V26" s="23" t="s">
        <v>487</v>
      </c>
    </row>
    <row r="27" spans="2:31" x14ac:dyDescent="0.2">
      <c r="B27" s="8">
        <v>26</v>
      </c>
      <c r="C27" s="11">
        <v>443.2</v>
      </c>
      <c r="D27" s="8">
        <v>27</v>
      </c>
      <c r="E27" s="11">
        <v>360.3</v>
      </c>
      <c r="F27" s="8">
        <v>28</v>
      </c>
      <c r="G27" s="11">
        <v>301</v>
      </c>
      <c r="H27" s="8">
        <v>29</v>
      </c>
      <c r="I27" s="11">
        <v>256.5</v>
      </c>
      <c r="J27" s="8">
        <v>30</v>
      </c>
      <c r="K27" s="8">
        <v>222.1</v>
      </c>
    </row>
    <row r="28" spans="2:31" x14ac:dyDescent="0.2">
      <c r="B28" s="8">
        <v>27</v>
      </c>
      <c r="C28" s="11">
        <v>446.2</v>
      </c>
      <c r="D28" s="8">
        <v>28</v>
      </c>
      <c r="E28" s="11">
        <v>363.1</v>
      </c>
      <c r="F28" s="8">
        <v>29</v>
      </c>
      <c r="G28" s="11">
        <v>303.60000000000002</v>
      </c>
      <c r="H28" s="8">
        <v>30</v>
      </c>
      <c r="I28" s="11">
        <v>259</v>
      </c>
    </row>
    <row r="29" spans="2:31" x14ac:dyDescent="0.2">
      <c r="B29" s="8">
        <v>28</v>
      </c>
      <c r="C29" s="11">
        <v>449</v>
      </c>
      <c r="D29" s="8">
        <v>29</v>
      </c>
      <c r="E29" s="11">
        <v>365.8</v>
      </c>
      <c r="F29" s="8">
        <v>30</v>
      </c>
      <c r="G29" s="11">
        <v>306.10000000000002</v>
      </c>
    </row>
    <row r="30" spans="2:31" x14ac:dyDescent="0.2">
      <c r="B30" s="8">
        <v>29</v>
      </c>
      <c r="C30" s="11">
        <v>451.6</v>
      </c>
      <c r="D30" s="8">
        <v>30</v>
      </c>
      <c r="E30" s="11">
        <v>368.2</v>
      </c>
    </row>
    <row r="31" spans="2:31" x14ac:dyDescent="0.2">
      <c r="B31" s="8">
        <v>30</v>
      </c>
      <c r="C31" s="11">
        <v>454.1</v>
      </c>
    </row>
    <row r="34" spans="2:2" ht="18" x14ac:dyDescent="0.2">
      <c r="B34" s="23" t="s">
        <v>487</v>
      </c>
    </row>
  </sheetData>
  <pageMargins left="0.7" right="0.7" top="0.75" bottom="0.75" header="0.3" footer="0.3"/>
  <pageSetup orientation="portrait" r:id="rId1"/>
  <customProperties>
    <customPr name="_pios_id" r:id="rId2"/>
  </customPropertie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19">
    <tabColor theme="9" tint="-0.249977111117893"/>
  </sheetPr>
  <dimension ref="B1:Y34"/>
  <sheetViews>
    <sheetView showGridLines="0" topLeftCell="D1" workbookViewId="0">
      <selection activeCell="C39" sqref="C39:D39"/>
    </sheetView>
  </sheetViews>
  <sheetFormatPr baseColWidth="10" defaultColWidth="11" defaultRowHeight="14.25" x14ac:dyDescent="0.2"/>
  <cols>
    <col min="1" max="1" width="1.5" customWidth="1"/>
    <col min="13" max="13" width="14.625" customWidth="1"/>
    <col min="14" max="14" width="20.375" customWidth="1"/>
    <col min="20" max="20" width="14.5" customWidth="1"/>
  </cols>
  <sheetData>
    <row r="1" spans="2:25" ht="15" x14ac:dyDescent="0.25">
      <c r="N1" s="15" t="s">
        <v>351</v>
      </c>
    </row>
    <row r="2" spans="2:25" ht="15" x14ac:dyDescent="0.25">
      <c r="E2" s="22" t="s">
        <v>472</v>
      </c>
      <c r="N2" s="101">
        <v>5.6782630000000003</v>
      </c>
      <c r="Q2" s="22" t="s">
        <v>473</v>
      </c>
    </row>
    <row r="3" spans="2:25" ht="12.6" customHeight="1" x14ac:dyDescent="0.2"/>
    <row r="4" spans="2:25" ht="15" x14ac:dyDescent="0.25">
      <c r="B4" s="15" t="s">
        <v>354</v>
      </c>
      <c r="C4" s="15" t="s">
        <v>355</v>
      </c>
      <c r="G4" s="15" t="s">
        <v>474</v>
      </c>
      <c r="H4" s="15" t="s">
        <v>350</v>
      </c>
      <c r="I4" s="15" t="s">
        <v>395</v>
      </c>
      <c r="J4" s="15" t="s">
        <v>454</v>
      </c>
      <c r="K4" s="15" t="s">
        <v>194</v>
      </c>
      <c r="M4" s="15" t="s">
        <v>475</v>
      </c>
      <c r="N4" s="15" t="s">
        <v>476</v>
      </c>
      <c r="R4" s="15" t="s">
        <v>173</v>
      </c>
      <c r="S4" s="15" t="s">
        <v>260</v>
      </c>
      <c r="T4" s="15" t="s">
        <v>477</v>
      </c>
    </row>
    <row r="5" spans="2:25" ht="15" x14ac:dyDescent="0.25">
      <c r="B5" s="7">
        <v>0</v>
      </c>
      <c r="C5" s="7">
        <v>1</v>
      </c>
      <c r="E5" s="598" t="s">
        <v>488</v>
      </c>
      <c r="F5" s="599"/>
      <c r="G5" s="14">
        <f>IF(M5="R",N5,IF(M5="RSI",N5*$N$2,0))</f>
        <v>0</v>
      </c>
      <c r="H5" s="16">
        <f>VLOOKUP(G5,B5:C31,2,TRUE)</f>
        <v>1</v>
      </c>
      <c r="I5" s="604">
        <f>IF(G6&lt;18.9,0,IF(H5=H6,0,IF('Niveau murs sous-sol'!H5=1,VLOOKUP('Niveau murs sous-sol'!H6,'MJ par m² murs sous-sol'!$B$3:$C$26,2,FALSE),
IF('Niveau murs sous-sol'!H5=2,VLOOKUP('Niveau murs sous-sol'!H6,'MJ par m² murs sous-sol'!$D$3:$E$25,2,FALSE),
IF('Niveau murs sous-sol'!H5=3,VLOOKUP('Niveau murs sous-sol'!H6,'MJ par m² murs sous-sol'!$F$3:$G$24,2,FALSE),
IF('Niveau murs sous-sol'!H5=4,VLOOKUP('Niveau murs sous-sol'!H6,'MJ par m² murs sous-sol'!$H$3:$I$23,2,FALSE),
IF('Niveau murs sous-sol'!H5=5,VLOOKUP('Niveau murs sous-sol'!H6,'MJ par m² murs sous-sol'!$J$3:$K$22,2,FALSE),
IF('Niveau murs sous-sol'!H5=6,VLOOKUP('Niveau murs sous-sol'!H6,'MJ par m² murs sous-sol'!$L$3:$M$21,2,FALSE),
IF('Niveau murs sous-sol'!H5=7,VLOOKUP('Niveau murs sous-sol'!H6,'MJ par m² murs sous-sol'!$N$3:$O$20,2,FALSE),
IF('Niveau murs sous-sol'!H5=8,VLOOKUP('Niveau murs sous-sol'!H6,'MJ par m² murs sous-sol'!$P$3:$Q$19,2,FALSE),
IF('Niveau murs sous-sol'!H5=9,VLOOKUP('Niveau murs sous-sol'!H6,'MJ par m² murs sous-sol'!$R$3:$S$18,2,FALSE),
IF('Niveau murs sous-sol'!H5=10,VLOOKUP('Niveau murs sous-sol'!H6,'MJ par m² murs sous-sol'!$T$3:$U$17,2,FALSE),
IF('Niveau murs sous-sol'!H5=11,VLOOKUP('Niveau murs sous-sol'!H6,'MJ par m² murs sous-sol'!$V$3:$W$16,2,FALSE),
IF('Niveau murs sous-sol'!H5=12,VLOOKUP('Niveau murs sous-sol'!H6,'MJ par m² murs sous-sol'!$X$3:$Y$15,2,FALSE),
IF('Niveau murs sous-sol'!H5=13,VLOOKUP('Niveau murs sous-sol'!H6,'MJ par m² murs sous-sol'!$Z$3:$AA$14,2,FALSE),
IF('Niveau murs sous-sol'!H5=14,VLOOKUP('Niveau murs sous-sol'!H6,'MJ par m² murs sous-sol'!$AB$3:$AC$13,2,FALSE),
IF('Niveau murs sous-sol'!H5=15,VLOOKUP('Niveau murs sous-sol'!H6,'MJ par m² murs sous-sol'!$AD$3:$AE$12,2,FALSE),
IF('Niveau murs sous-sol'!H5=16,VLOOKUP('Niveau murs sous-sol'!H6,'MJ par m² murs sous-sol'!$AF$3:$AG$11,2,FALSE),
IF('Niveau murs sous-sol'!H5=17,VLOOKUP('Niveau murs sous-sol'!H6,'MJ par m² murs sous-sol'!$AH$3:$AI$10,2,FALSE),
IF('Niveau murs sous-sol'!H5=18,VLOOKUP('Niveau murs sous-sol'!H6,'MJ par m² murs sous-sol'!$AJ$3:$AK$9,2,FALSE),
IF('Niveau murs sous-sol'!H5=19,VLOOKUP('Niveau murs sous-sol'!H6,'MJ par m² murs sous-sol'!$AL$3:$AM$8,2,FALSE),
IF('Niveau murs sous-sol'!H5=20,VLOOKUP('Niveau murs sous-sol'!H6,'MJ par m² murs sous-sol'!$AN$3:$AO$7,2,FALSE),
IF('Niveau murs sous-sol'!H5=21,VLOOKUP('Niveau murs sous-sol'!H6,'MJ par m² murs sous-sol'!$AP$3:$AQ$6,2,FALSE),
IF('Niveau murs sous-sol'!H5=22,VLOOKUP('Niveau murs sous-sol'!H6,'MJ par m² murs sous-sol'!$AR$3:$AS$5,2,FALSE),
IF('Niveau murs sous-sol'!H5=23,VLOOKUP('Niveau murs sous-sol'!H6,'MJ par m² murs sous-sol'!$AT$3:$AU$4,2,FALSE),
IF('Niveau murs sous-sol'!H5=24,VLOOKUP('Niveau murs sous-sol'!H6,'MJ par m² murs sous-sol'!$AV$3:$AW$3,2,FALSE)))))))))))))))))))))))))))</f>
        <v>0</v>
      </c>
      <c r="J5" s="600">
        <f>IF( '2 - Description of the work'!J124="m²",'2 - Description of the work'!H124, IF( '2 - Description of the work'!J124 ="ft²", '2 - Description of the work'!H124*0.092903, 0 ))*G9</f>
        <v>0</v>
      </c>
      <c r="K5" s="596">
        <f>I5*J5</f>
        <v>0</v>
      </c>
      <c r="M5" s="14">
        <f>'2 - Description of the work'!$H$128</f>
        <v>0</v>
      </c>
      <c r="N5" s="14" t="str">
        <f>'2 - Description of the work'!H133</f>
        <v/>
      </c>
      <c r="R5" s="384">
        <f>S5*$N$2</f>
        <v>18.880224475000002</v>
      </c>
      <c r="S5" s="370">
        <v>3.3250000000000002</v>
      </c>
      <c r="T5" s="100" t="str">
        <f>IF($M$5 = "R", "- R " &amp; TEXT(R5,"0,0"),"- RSI " &amp; TEXT(S5,"0,00"))</f>
        <v>- RSI 3,33</v>
      </c>
    </row>
    <row r="6" spans="2:25" ht="15" x14ac:dyDescent="0.25">
      <c r="B6" s="7">
        <f>B5+1</f>
        <v>1</v>
      </c>
      <c r="C6" s="7">
        <v>1</v>
      </c>
      <c r="E6" s="598" t="s">
        <v>489</v>
      </c>
      <c r="F6" s="599"/>
      <c r="G6" s="14">
        <f>IFERROR(G8*G9,0)</f>
        <v>0</v>
      </c>
      <c r="H6" s="16">
        <f>VLOOKUP(G6,B5:C31,2,TRUE)</f>
        <v>1</v>
      </c>
      <c r="I6" s="605"/>
      <c r="J6" s="601"/>
      <c r="K6" s="597"/>
      <c r="M6" s="14">
        <f>'2 - Description of the work'!$H$128</f>
        <v>0</v>
      </c>
      <c r="N6" s="14">
        <f>'2 - Description of the work'!H131</f>
        <v>0</v>
      </c>
      <c r="R6" s="372"/>
      <c r="S6" s="372"/>
    </row>
    <row r="7" spans="2:25" ht="15" x14ac:dyDescent="0.25">
      <c r="B7" s="7">
        <f>B6+1</f>
        <v>2</v>
      </c>
      <c r="C7" s="7">
        <v>1</v>
      </c>
      <c r="E7" s="598" t="s">
        <v>480</v>
      </c>
      <c r="F7" s="599"/>
      <c r="G7" s="9">
        <f>R5</f>
        <v>18.880224475000002</v>
      </c>
      <c r="Q7" s="22" t="s">
        <v>481</v>
      </c>
      <c r="R7" s="372"/>
      <c r="S7" s="372"/>
    </row>
    <row r="8" spans="2:25" ht="15" x14ac:dyDescent="0.25">
      <c r="B8" s="7">
        <f t="shared" ref="B8:B29" si="0">B7+1</f>
        <v>3</v>
      </c>
      <c r="C8" s="7">
        <f t="shared" ref="B8:C31" si="1">C7+1</f>
        <v>2</v>
      </c>
      <c r="E8" s="598" t="s">
        <v>490</v>
      </c>
      <c r="F8" s="599"/>
      <c r="G8" s="9">
        <f>IF(M6="R",N6, IF(M6="RSI",N6*$N$2,0))</f>
        <v>0</v>
      </c>
      <c r="R8" s="372"/>
      <c r="S8" s="372"/>
    </row>
    <row r="9" spans="2:25" ht="15" x14ac:dyDescent="0.25">
      <c r="B9" s="7">
        <f t="shared" si="0"/>
        <v>4</v>
      </c>
      <c r="C9" s="7">
        <f t="shared" si="1"/>
        <v>3</v>
      </c>
      <c r="E9" s="598" t="s">
        <v>483</v>
      </c>
      <c r="F9" s="599"/>
      <c r="G9" s="16">
        <f>IFERROR(IF((G8&gt;=G7)*(G8&gt;G5),1,0),0)</f>
        <v>0</v>
      </c>
      <c r="Q9" s="31"/>
      <c r="R9" s="373" t="s">
        <v>173</v>
      </c>
      <c r="S9" s="373" t="s">
        <v>260</v>
      </c>
      <c r="T9" s="15" t="s">
        <v>477</v>
      </c>
    </row>
    <row r="10" spans="2:25" x14ac:dyDescent="0.2">
      <c r="B10" s="7">
        <f t="shared" si="0"/>
        <v>5</v>
      </c>
      <c r="C10" s="7">
        <f t="shared" si="1"/>
        <v>4</v>
      </c>
      <c r="Q10" s="32"/>
      <c r="R10" s="375">
        <v>13.6</v>
      </c>
      <c r="S10" s="375">
        <f>R10/$N$2</f>
        <v>2.3950986419614586</v>
      </c>
      <c r="T10" s="100" t="str">
        <f>IF($M$5 = "R", "- R " &amp; TEXT(R10,"0,0"),"- RSI " &amp; TEXT(S10,"0,0"))</f>
        <v>- RSI 2,4</v>
      </c>
      <c r="U10" s="595" t="s">
        <v>565</v>
      </c>
      <c r="V10" s="595"/>
      <c r="W10" s="595"/>
      <c r="X10" s="595"/>
      <c r="Y10" s="595"/>
    </row>
    <row r="11" spans="2:25" x14ac:dyDescent="0.2">
      <c r="B11" s="7">
        <f t="shared" si="0"/>
        <v>6</v>
      </c>
      <c r="C11" s="7">
        <f t="shared" si="1"/>
        <v>5</v>
      </c>
      <c r="U11" s="595"/>
      <c r="V11" s="595"/>
      <c r="W11" s="595"/>
      <c r="X11" s="595"/>
      <c r="Y11" s="595"/>
    </row>
    <row r="12" spans="2:25" x14ac:dyDescent="0.2">
      <c r="B12" s="7">
        <f t="shared" si="0"/>
        <v>7</v>
      </c>
      <c r="C12" s="7">
        <f t="shared" si="1"/>
        <v>6</v>
      </c>
      <c r="E12" s="594" t="s">
        <v>491</v>
      </c>
      <c r="F12" s="594"/>
      <c r="G12" s="594"/>
      <c r="H12" s="594"/>
      <c r="I12" s="594"/>
      <c r="J12" s="594"/>
      <c r="U12" s="595"/>
      <c r="V12" s="595"/>
      <c r="W12" s="595"/>
      <c r="X12" s="595"/>
      <c r="Y12" s="595"/>
    </row>
    <row r="13" spans="2:25" ht="15" x14ac:dyDescent="0.25">
      <c r="B13" s="7">
        <f t="shared" si="0"/>
        <v>8</v>
      </c>
      <c r="C13" s="7">
        <f t="shared" si="1"/>
        <v>7</v>
      </c>
      <c r="E13" s="594"/>
      <c r="F13" s="594"/>
      <c r="G13" s="594"/>
      <c r="H13" s="594"/>
      <c r="I13" s="594"/>
      <c r="J13" s="594"/>
      <c r="Q13" s="371" t="s">
        <v>562</v>
      </c>
      <c r="R13" s="372"/>
      <c r="S13" s="372"/>
    </row>
    <row r="14" spans="2:25" x14ac:dyDescent="0.2">
      <c r="B14" s="7">
        <f t="shared" si="0"/>
        <v>9</v>
      </c>
      <c r="C14" s="7">
        <f t="shared" si="1"/>
        <v>8</v>
      </c>
      <c r="E14" s="594"/>
      <c r="F14" s="594"/>
      <c r="G14" s="594"/>
      <c r="H14" s="594"/>
      <c r="I14" s="594"/>
      <c r="J14" s="594"/>
      <c r="Q14" s="372"/>
      <c r="R14" s="372"/>
      <c r="S14" s="372"/>
    </row>
    <row r="15" spans="2:25" ht="15" x14ac:dyDescent="0.25">
      <c r="B15" s="7">
        <f t="shared" si="0"/>
        <v>10</v>
      </c>
      <c r="C15" s="7">
        <f t="shared" si="1"/>
        <v>9</v>
      </c>
      <c r="Q15" s="372"/>
      <c r="R15" s="373" t="s">
        <v>173</v>
      </c>
      <c r="S15" s="373" t="s">
        <v>260</v>
      </c>
    </row>
    <row r="16" spans="2:25" x14ac:dyDescent="0.2">
      <c r="B16" s="7">
        <f t="shared" si="0"/>
        <v>11</v>
      </c>
      <c r="C16" s="7">
        <f t="shared" si="1"/>
        <v>10</v>
      </c>
      <c r="Q16" s="372"/>
      <c r="R16" s="375">
        <f>S16*$N$2</f>
        <v>12.492178600000001</v>
      </c>
      <c r="S16" s="376">
        <v>2.2000000000000002</v>
      </c>
    </row>
    <row r="17" spans="2:3" x14ac:dyDescent="0.2">
      <c r="B17" s="7">
        <f t="shared" si="0"/>
        <v>12</v>
      </c>
      <c r="C17" s="7">
        <f t="shared" si="1"/>
        <v>11</v>
      </c>
    </row>
    <row r="18" spans="2:3" x14ac:dyDescent="0.2">
      <c r="B18" s="7">
        <f t="shared" si="0"/>
        <v>13</v>
      </c>
      <c r="C18" s="7">
        <f t="shared" si="1"/>
        <v>12</v>
      </c>
    </row>
    <row r="19" spans="2:3" x14ac:dyDescent="0.2">
      <c r="B19" s="7">
        <f t="shared" si="0"/>
        <v>14</v>
      </c>
      <c r="C19" s="7">
        <f t="shared" si="1"/>
        <v>13</v>
      </c>
    </row>
    <row r="20" spans="2:3" x14ac:dyDescent="0.2">
      <c r="B20" s="7">
        <f t="shared" si="0"/>
        <v>15</v>
      </c>
      <c r="C20" s="7">
        <f t="shared" si="1"/>
        <v>14</v>
      </c>
    </row>
    <row r="21" spans="2:3" x14ac:dyDescent="0.2">
      <c r="B21" s="7">
        <f t="shared" si="0"/>
        <v>16</v>
      </c>
      <c r="C21" s="7">
        <f t="shared" si="1"/>
        <v>15</v>
      </c>
    </row>
    <row r="22" spans="2:3" x14ac:dyDescent="0.2">
      <c r="B22" s="7">
        <f t="shared" si="0"/>
        <v>17</v>
      </c>
      <c r="C22" s="7">
        <f t="shared" si="1"/>
        <v>16</v>
      </c>
    </row>
    <row r="23" spans="2:3" x14ac:dyDescent="0.2">
      <c r="B23" s="7">
        <f t="shared" si="0"/>
        <v>18</v>
      </c>
      <c r="C23" s="7">
        <f t="shared" si="1"/>
        <v>17</v>
      </c>
    </row>
    <row r="24" spans="2:3" x14ac:dyDescent="0.2">
      <c r="B24" s="7">
        <f t="shared" si="0"/>
        <v>19</v>
      </c>
      <c r="C24" s="7">
        <f t="shared" si="1"/>
        <v>18</v>
      </c>
    </row>
    <row r="25" spans="2:3" x14ac:dyDescent="0.2">
      <c r="B25" s="7">
        <f t="shared" si="0"/>
        <v>20</v>
      </c>
      <c r="C25" s="7">
        <f t="shared" si="1"/>
        <v>19</v>
      </c>
    </row>
    <row r="26" spans="2:3" x14ac:dyDescent="0.2">
      <c r="B26" s="7">
        <f t="shared" si="0"/>
        <v>21</v>
      </c>
      <c r="C26" s="7">
        <f t="shared" si="1"/>
        <v>20</v>
      </c>
    </row>
    <row r="27" spans="2:3" x14ac:dyDescent="0.2">
      <c r="B27" s="7">
        <f t="shared" si="0"/>
        <v>22</v>
      </c>
      <c r="C27" s="7">
        <f t="shared" si="1"/>
        <v>21</v>
      </c>
    </row>
    <row r="28" spans="2:3" x14ac:dyDescent="0.2">
      <c r="B28" s="7">
        <f t="shared" si="0"/>
        <v>23</v>
      </c>
      <c r="C28" s="7">
        <f t="shared" si="1"/>
        <v>22</v>
      </c>
    </row>
    <row r="29" spans="2:3" x14ac:dyDescent="0.2">
      <c r="B29" s="7">
        <f t="shared" si="0"/>
        <v>24</v>
      </c>
      <c r="C29" s="7">
        <f t="shared" si="1"/>
        <v>23</v>
      </c>
    </row>
    <row r="30" spans="2:3" x14ac:dyDescent="0.2">
      <c r="B30" s="7">
        <f t="shared" si="1"/>
        <v>25</v>
      </c>
      <c r="C30" s="7">
        <f t="shared" si="1"/>
        <v>24</v>
      </c>
    </row>
    <row r="31" spans="2:3" x14ac:dyDescent="0.2">
      <c r="B31" s="7">
        <f t="shared" si="1"/>
        <v>26</v>
      </c>
      <c r="C31" s="7">
        <f t="shared" si="1"/>
        <v>25</v>
      </c>
    </row>
    <row r="33" spans="2:2" x14ac:dyDescent="0.2">
      <c r="B33" t="s">
        <v>492</v>
      </c>
    </row>
    <row r="34" spans="2:2" ht="18" x14ac:dyDescent="0.2">
      <c r="B34" s="23" t="s">
        <v>493</v>
      </c>
    </row>
  </sheetData>
  <mergeCells count="10">
    <mergeCell ref="U10:Y12"/>
    <mergeCell ref="K5:K6"/>
    <mergeCell ref="E5:F5"/>
    <mergeCell ref="I5:I6"/>
    <mergeCell ref="E6:F6"/>
    <mergeCell ref="E12:J14"/>
    <mergeCell ref="J5:J6"/>
    <mergeCell ref="E7:F7"/>
    <mergeCell ref="E8:F8"/>
    <mergeCell ref="E9:F9"/>
  </mergeCells>
  <pageMargins left="0.7" right="0.7" top="0.75" bottom="0.75" header="0.3" footer="0.3"/>
  <customProperties>
    <customPr name="_pios_id" r:id="rId1"/>
  </customPropertie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20">
    <tabColor theme="9" tint="-0.249977111117893"/>
  </sheetPr>
  <dimension ref="B1:AW29"/>
  <sheetViews>
    <sheetView showGridLines="0" workbookViewId="0">
      <selection activeCell="K34" sqref="K34"/>
    </sheetView>
  </sheetViews>
  <sheetFormatPr baseColWidth="10" defaultColWidth="11" defaultRowHeight="14.25" x14ac:dyDescent="0.2"/>
  <cols>
    <col min="1" max="1" width="1.5" customWidth="1"/>
  </cols>
  <sheetData>
    <row r="1" spans="2:49" ht="9" customHeight="1" x14ac:dyDescent="0.2"/>
    <row r="2" spans="2:49" x14ac:dyDescent="0.2">
      <c r="B2" s="8" t="s">
        <v>394</v>
      </c>
      <c r="C2" s="8" t="s">
        <v>395</v>
      </c>
      <c r="D2" s="8" t="s">
        <v>396</v>
      </c>
      <c r="E2" s="8" t="s">
        <v>395</v>
      </c>
      <c r="F2" s="8" t="s">
        <v>397</v>
      </c>
      <c r="G2" s="8" t="s">
        <v>395</v>
      </c>
      <c r="H2" s="8" t="s">
        <v>398</v>
      </c>
      <c r="I2" s="8" t="s">
        <v>395</v>
      </c>
      <c r="J2" s="8" t="s">
        <v>399</v>
      </c>
      <c r="K2" s="8" t="s">
        <v>395</v>
      </c>
      <c r="L2" s="8" t="s">
        <v>400</v>
      </c>
      <c r="M2" s="8" t="s">
        <v>395</v>
      </c>
      <c r="N2" s="8" t="s">
        <v>401</v>
      </c>
      <c r="O2" s="8" t="s">
        <v>395</v>
      </c>
      <c r="P2" s="8" t="s">
        <v>402</v>
      </c>
      <c r="Q2" s="8" t="s">
        <v>395</v>
      </c>
      <c r="R2" s="8" t="s">
        <v>403</v>
      </c>
      <c r="S2" s="8" t="s">
        <v>395</v>
      </c>
      <c r="T2" s="8" t="s">
        <v>404</v>
      </c>
      <c r="U2" s="8" t="s">
        <v>395</v>
      </c>
      <c r="V2" s="8" t="s">
        <v>405</v>
      </c>
      <c r="W2" s="8" t="s">
        <v>395</v>
      </c>
      <c r="X2" s="8" t="s">
        <v>406</v>
      </c>
      <c r="Y2" s="8" t="s">
        <v>395</v>
      </c>
      <c r="Z2" s="8" t="s">
        <v>407</v>
      </c>
      <c r="AA2" s="8" t="s">
        <v>395</v>
      </c>
      <c r="AB2" s="8" t="s">
        <v>408</v>
      </c>
      <c r="AC2" s="8" t="s">
        <v>395</v>
      </c>
      <c r="AD2" s="8" t="s">
        <v>409</v>
      </c>
      <c r="AE2" s="8" t="s">
        <v>395</v>
      </c>
      <c r="AF2" s="8" t="s">
        <v>410</v>
      </c>
      <c r="AG2" s="8" t="s">
        <v>395</v>
      </c>
      <c r="AH2" s="8" t="s">
        <v>411</v>
      </c>
      <c r="AI2" s="8" t="s">
        <v>395</v>
      </c>
      <c r="AJ2" s="8" t="s">
        <v>412</v>
      </c>
      <c r="AK2" s="8" t="s">
        <v>395</v>
      </c>
      <c r="AL2" s="8" t="s">
        <v>413</v>
      </c>
      <c r="AM2" s="8" t="s">
        <v>395</v>
      </c>
      <c r="AN2" s="8" t="s">
        <v>414</v>
      </c>
      <c r="AO2" s="8" t="s">
        <v>395</v>
      </c>
      <c r="AP2" s="8" t="s">
        <v>415</v>
      </c>
      <c r="AQ2" s="8" t="s">
        <v>395</v>
      </c>
      <c r="AR2" s="8" t="s">
        <v>416</v>
      </c>
      <c r="AS2" s="8" t="s">
        <v>395</v>
      </c>
      <c r="AT2" s="8" t="s">
        <v>417</v>
      </c>
      <c r="AU2" s="8" t="s">
        <v>395</v>
      </c>
      <c r="AV2" s="8" t="s">
        <v>418</v>
      </c>
      <c r="AW2" s="8" t="s">
        <v>395</v>
      </c>
    </row>
    <row r="3" spans="2:49" x14ac:dyDescent="0.2">
      <c r="B3" s="8">
        <v>2</v>
      </c>
      <c r="C3" s="11">
        <v>83.4</v>
      </c>
      <c r="D3" s="8">
        <v>3</v>
      </c>
      <c r="E3" s="11">
        <v>47</v>
      </c>
      <c r="F3" s="8">
        <v>4</v>
      </c>
      <c r="G3" s="11">
        <v>40.299999999999997</v>
      </c>
      <c r="H3" s="8">
        <v>5</v>
      </c>
      <c r="I3" s="11">
        <v>34.299999999999997</v>
      </c>
      <c r="J3" s="8">
        <v>6</v>
      </c>
      <c r="K3" s="8">
        <v>28.9</v>
      </c>
      <c r="L3" s="8">
        <v>7</v>
      </c>
      <c r="M3" s="11">
        <v>24.4</v>
      </c>
      <c r="N3" s="8">
        <v>8</v>
      </c>
      <c r="O3" s="11">
        <v>20.7</v>
      </c>
      <c r="P3" s="8">
        <v>9</v>
      </c>
      <c r="Q3" s="11">
        <v>17.7</v>
      </c>
      <c r="R3" s="8">
        <v>10</v>
      </c>
      <c r="S3" s="11">
        <v>15.3</v>
      </c>
      <c r="T3" s="8">
        <v>11</v>
      </c>
      <c r="U3" s="11">
        <v>13.3</v>
      </c>
      <c r="V3" s="8">
        <v>12</v>
      </c>
      <c r="W3" s="11">
        <v>11.7</v>
      </c>
      <c r="X3" s="8">
        <v>13</v>
      </c>
      <c r="Y3" s="11">
        <v>10.3</v>
      </c>
      <c r="Z3" s="8">
        <v>14</v>
      </c>
      <c r="AA3" s="11">
        <v>9.1999999999999993</v>
      </c>
      <c r="AB3" s="8">
        <v>15</v>
      </c>
      <c r="AC3" s="11">
        <v>8.1999999999999993</v>
      </c>
      <c r="AD3" s="8">
        <v>16</v>
      </c>
      <c r="AE3" s="11">
        <v>7.4</v>
      </c>
      <c r="AF3" s="8">
        <v>17</v>
      </c>
      <c r="AG3" s="11">
        <v>6.7</v>
      </c>
      <c r="AH3" s="8">
        <v>18</v>
      </c>
      <c r="AI3" s="11">
        <v>6.1</v>
      </c>
      <c r="AJ3" s="8">
        <v>19</v>
      </c>
      <c r="AK3" s="11">
        <v>5.5</v>
      </c>
      <c r="AL3" s="8">
        <v>20</v>
      </c>
      <c r="AM3" s="11">
        <v>5.0999999999999996</v>
      </c>
      <c r="AN3" s="8">
        <v>21</v>
      </c>
      <c r="AO3" s="11">
        <v>4.5999999999999996</v>
      </c>
      <c r="AP3" s="8">
        <v>22</v>
      </c>
      <c r="AQ3" s="11">
        <v>4.3</v>
      </c>
      <c r="AR3" s="8">
        <v>23</v>
      </c>
      <c r="AS3" s="11">
        <v>4</v>
      </c>
      <c r="AT3" s="8">
        <v>24</v>
      </c>
      <c r="AU3" s="11">
        <v>3.7</v>
      </c>
      <c r="AV3" s="8">
        <v>25</v>
      </c>
      <c r="AW3" s="11">
        <v>3.4</v>
      </c>
    </row>
    <row r="4" spans="2:49" x14ac:dyDescent="0.2">
      <c r="B4" s="8">
        <v>3</v>
      </c>
      <c r="C4" s="11">
        <v>130.4</v>
      </c>
      <c r="D4" s="8">
        <v>4</v>
      </c>
      <c r="E4" s="11">
        <v>87.4</v>
      </c>
      <c r="F4" s="8">
        <v>5</v>
      </c>
      <c r="G4" s="11">
        <v>74.7</v>
      </c>
      <c r="H4" s="8">
        <v>6</v>
      </c>
      <c r="I4" s="11">
        <v>63.3</v>
      </c>
      <c r="J4" s="8">
        <v>7</v>
      </c>
      <c r="K4" s="8">
        <v>53.3</v>
      </c>
      <c r="L4" s="8">
        <v>8</v>
      </c>
      <c r="M4" s="11">
        <v>45.1</v>
      </c>
      <c r="N4" s="8">
        <v>9</v>
      </c>
      <c r="O4" s="11">
        <v>38.4</v>
      </c>
      <c r="P4" s="8">
        <v>10</v>
      </c>
      <c r="Q4" s="11">
        <v>33</v>
      </c>
      <c r="R4" s="8">
        <v>11</v>
      </c>
      <c r="S4" s="11">
        <v>28.6</v>
      </c>
      <c r="T4" s="8">
        <v>12</v>
      </c>
      <c r="U4" s="11">
        <v>25</v>
      </c>
      <c r="V4" s="8">
        <v>13</v>
      </c>
      <c r="W4" s="11">
        <v>22</v>
      </c>
      <c r="X4" s="8">
        <v>14</v>
      </c>
      <c r="Y4" s="11">
        <v>19.5</v>
      </c>
      <c r="Z4" s="8">
        <v>15</v>
      </c>
      <c r="AA4" s="11">
        <v>17.399999999999999</v>
      </c>
      <c r="AB4" s="8">
        <v>16</v>
      </c>
      <c r="AC4" s="11">
        <v>15.6</v>
      </c>
      <c r="AD4" s="8">
        <v>17</v>
      </c>
      <c r="AE4" s="11">
        <v>14</v>
      </c>
      <c r="AF4" s="8">
        <v>18</v>
      </c>
      <c r="AG4" s="11">
        <v>12.7</v>
      </c>
      <c r="AH4" s="8">
        <v>19</v>
      </c>
      <c r="AI4" s="11">
        <v>11.6</v>
      </c>
      <c r="AJ4" s="8">
        <v>20</v>
      </c>
      <c r="AK4" s="11">
        <v>10.6</v>
      </c>
      <c r="AL4" s="8">
        <v>21</v>
      </c>
      <c r="AM4" s="11">
        <v>9.6999999999999993</v>
      </c>
      <c r="AN4" s="8">
        <v>22</v>
      </c>
      <c r="AO4" s="11">
        <v>8.9</v>
      </c>
      <c r="AP4" s="8">
        <v>23</v>
      </c>
      <c r="AQ4" s="11">
        <v>8.3000000000000007</v>
      </c>
      <c r="AR4" s="8">
        <v>24</v>
      </c>
      <c r="AS4" s="8">
        <v>7.6</v>
      </c>
      <c r="AT4" s="8">
        <v>25</v>
      </c>
      <c r="AU4" s="11">
        <v>7.1</v>
      </c>
    </row>
    <row r="5" spans="2:49" x14ac:dyDescent="0.2">
      <c r="B5" s="8">
        <v>4</v>
      </c>
      <c r="C5" s="11">
        <v>170.8</v>
      </c>
      <c r="D5" s="8">
        <v>5</v>
      </c>
      <c r="E5" s="11">
        <v>121.7</v>
      </c>
      <c r="F5" s="8">
        <v>6</v>
      </c>
      <c r="G5" s="11">
        <v>103.6</v>
      </c>
      <c r="H5" s="8">
        <v>7</v>
      </c>
      <c r="I5" s="11">
        <v>87.6</v>
      </c>
      <c r="J5" s="8">
        <v>8</v>
      </c>
      <c r="K5" s="8">
        <v>74</v>
      </c>
      <c r="L5" s="8">
        <v>9</v>
      </c>
      <c r="M5" s="11">
        <v>62.8</v>
      </c>
      <c r="N5" s="8">
        <v>10</v>
      </c>
      <c r="O5" s="11">
        <v>53.7</v>
      </c>
      <c r="P5" s="8">
        <v>11</v>
      </c>
      <c r="Q5" s="11">
        <v>46.3</v>
      </c>
      <c r="R5" s="8">
        <v>12</v>
      </c>
      <c r="S5" s="11">
        <v>40.200000000000003</v>
      </c>
      <c r="T5" s="8">
        <v>13</v>
      </c>
      <c r="U5" s="11">
        <v>35.299999999999997</v>
      </c>
      <c r="V5" s="8">
        <v>14</v>
      </c>
      <c r="W5" s="11">
        <v>31.1</v>
      </c>
      <c r="X5" s="8">
        <v>15</v>
      </c>
      <c r="Y5" s="11">
        <v>27.7</v>
      </c>
      <c r="Z5" s="8">
        <v>16</v>
      </c>
      <c r="AA5" s="11">
        <v>24.7</v>
      </c>
      <c r="AB5" s="8">
        <v>17</v>
      </c>
      <c r="AC5" s="11">
        <v>22.2</v>
      </c>
      <c r="AD5" s="8">
        <v>18</v>
      </c>
      <c r="AE5" s="11">
        <v>20.100000000000001</v>
      </c>
      <c r="AF5" s="8">
        <v>19</v>
      </c>
      <c r="AG5" s="11">
        <v>18.2</v>
      </c>
      <c r="AH5" s="8">
        <v>20</v>
      </c>
      <c r="AI5" s="11">
        <v>16.600000000000001</v>
      </c>
      <c r="AJ5" s="8">
        <v>21</v>
      </c>
      <c r="AK5" s="11">
        <v>15.2</v>
      </c>
      <c r="AL5" s="8">
        <v>22</v>
      </c>
      <c r="AM5" s="11">
        <v>14</v>
      </c>
      <c r="AN5" s="8">
        <v>23</v>
      </c>
      <c r="AO5" s="11">
        <v>12.9</v>
      </c>
      <c r="AP5" s="8">
        <v>24</v>
      </c>
      <c r="AQ5" s="11">
        <v>11.9</v>
      </c>
      <c r="AR5" s="8">
        <v>25</v>
      </c>
      <c r="AS5" s="8">
        <v>11.1</v>
      </c>
    </row>
    <row r="6" spans="2:49" x14ac:dyDescent="0.2">
      <c r="B6" s="8">
        <v>5</v>
      </c>
      <c r="C6" s="11">
        <v>205.1</v>
      </c>
      <c r="D6" s="8">
        <v>6</v>
      </c>
      <c r="E6" s="11">
        <v>150.6</v>
      </c>
      <c r="F6" s="8">
        <v>7</v>
      </c>
      <c r="G6" s="11">
        <v>128</v>
      </c>
      <c r="H6" s="8">
        <v>8</v>
      </c>
      <c r="I6" s="11">
        <v>108.3</v>
      </c>
      <c r="J6" s="8">
        <v>9</v>
      </c>
      <c r="K6" s="8">
        <v>91.7</v>
      </c>
      <c r="L6" s="8">
        <v>10</v>
      </c>
      <c r="M6" s="11">
        <v>78.099999999999994</v>
      </c>
      <c r="N6" s="8">
        <v>11</v>
      </c>
      <c r="O6" s="11">
        <v>67</v>
      </c>
      <c r="P6" s="8">
        <v>12</v>
      </c>
      <c r="Q6" s="11">
        <v>57.9</v>
      </c>
      <c r="R6" s="8">
        <v>13</v>
      </c>
      <c r="S6" s="11">
        <v>50.5</v>
      </c>
      <c r="T6" s="8">
        <v>14</v>
      </c>
      <c r="U6" s="11">
        <v>44.4</v>
      </c>
      <c r="V6" s="8">
        <v>15</v>
      </c>
      <c r="W6" s="11">
        <v>39.299999999999997</v>
      </c>
      <c r="X6" s="8">
        <v>16</v>
      </c>
      <c r="Y6" s="11">
        <v>35</v>
      </c>
      <c r="Z6" s="8">
        <v>17</v>
      </c>
      <c r="AA6" s="11">
        <v>31.4</v>
      </c>
      <c r="AB6" s="8">
        <v>18</v>
      </c>
      <c r="AC6" s="11">
        <v>28.3</v>
      </c>
      <c r="AD6" s="8">
        <v>19</v>
      </c>
      <c r="AE6" s="11">
        <v>25.6</v>
      </c>
      <c r="AF6" s="8">
        <v>20</v>
      </c>
      <c r="AG6" s="11">
        <v>23.3</v>
      </c>
      <c r="AH6" s="8">
        <v>21</v>
      </c>
      <c r="AI6" s="11">
        <v>21.3</v>
      </c>
      <c r="AJ6" s="8">
        <v>22</v>
      </c>
      <c r="AK6" s="11">
        <v>19.5</v>
      </c>
      <c r="AL6" s="8">
        <v>23</v>
      </c>
      <c r="AM6" s="11">
        <v>18</v>
      </c>
      <c r="AN6" s="8">
        <v>24</v>
      </c>
      <c r="AO6" s="11">
        <v>16.600000000000001</v>
      </c>
      <c r="AP6" s="8">
        <v>25</v>
      </c>
      <c r="AQ6" s="11">
        <v>15.4</v>
      </c>
    </row>
    <row r="7" spans="2:49" x14ac:dyDescent="0.2">
      <c r="B7" s="8">
        <v>6</v>
      </c>
      <c r="C7" s="11">
        <v>234</v>
      </c>
      <c r="D7" s="8">
        <v>7</v>
      </c>
      <c r="E7" s="11">
        <v>175</v>
      </c>
      <c r="F7" s="8">
        <v>8</v>
      </c>
      <c r="G7" s="11">
        <v>148.69999999999999</v>
      </c>
      <c r="H7" s="8">
        <v>9</v>
      </c>
      <c r="I7" s="11">
        <v>126.1</v>
      </c>
      <c r="J7" s="8">
        <v>10</v>
      </c>
      <c r="K7" s="8">
        <v>107</v>
      </c>
      <c r="L7" s="8">
        <v>11</v>
      </c>
      <c r="M7" s="11">
        <v>91.4</v>
      </c>
      <c r="N7" s="8">
        <v>12</v>
      </c>
      <c r="O7" s="11">
        <v>78.599999999999994</v>
      </c>
      <c r="P7" s="8">
        <v>13</v>
      </c>
      <c r="Q7" s="11">
        <v>68.2</v>
      </c>
      <c r="R7" s="8">
        <v>14</v>
      </c>
      <c r="S7" s="11">
        <v>59.7</v>
      </c>
      <c r="T7" s="8">
        <v>15</v>
      </c>
      <c r="U7" s="11">
        <v>52.6</v>
      </c>
      <c r="V7" s="8">
        <v>16</v>
      </c>
      <c r="W7" s="11">
        <v>46.7</v>
      </c>
      <c r="X7" s="8">
        <v>17</v>
      </c>
      <c r="Y7" s="11">
        <v>41.7</v>
      </c>
      <c r="Z7" s="8">
        <v>18</v>
      </c>
      <c r="AA7" s="11">
        <v>37.5</v>
      </c>
      <c r="AB7" s="8">
        <v>19</v>
      </c>
      <c r="AC7" s="11">
        <v>33.799999999999997</v>
      </c>
      <c r="AD7" s="8">
        <v>20</v>
      </c>
      <c r="AE7" s="11">
        <v>30.7</v>
      </c>
      <c r="AF7" s="8">
        <v>21</v>
      </c>
      <c r="AG7" s="11">
        <v>28</v>
      </c>
      <c r="AH7" s="8">
        <v>22</v>
      </c>
      <c r="AI7" s="11">
        <v>25.6</v>
      </c>
      <c r="AJ7" s="8">
        <v>23</v>
      </c>
      <c r="AK7" s="11">
        <v>23.5</v>
      </c>
      <c r="AL7" s="8">
        <v>24</v>
      </c>
      <c r="AM7" s="11">
        <v>21.6</v>
      </c>
      <c r="AN7" s="8">
        <v>25</v>
      </c>
      <c r="AO7" s="11">
        <v>20</v>
      </c>
    </row>
    <row r="8" spans="2:49" x14ac:dyDescent="0.2">
      <c r="B8" s="8">
        <v>7</v>
      </c>
      <c r="C8" s="11">
        <v>258.39999999999998</v>
      </c>
      <c r="D8" s="8">
        <v>8</v>
      </c>
      <c r="E8" s="11">
        <v>195.7</v>
      </c>
      <c r="F8" s="8">
        <v>9</v>
      </c>
      <c r="G8" s="11">
        <v>166.4</v>
      </c>
      <c r="H8" s="8">
        <v>10</v>
      </c>
      <c r="I8" s="11">
        <v>141.30000000000001</v>
      </c>
      <c r="J8" s="8">
        <v>11</v>
      </c>
      <c r="K8" s="11">
        <v>120.3</v>
      </c>
      <c r="L8" s="8">
        <v>12</v>
      </c>
      <c r="M8" s="11">
        <v>103</v>
      </c>
      <c r="N8" s="8">
        <v>13</v>
      </c>
      <c r="O8" s="11">
        <v>88.9</v>
      </c>
      <c r="P8" s="8">
        <v>14</v>
      </c>
      <c r="Q8" s="11">
        <v>77.400000000000006</v>
      </c>
      <c r="R8" s="8">
        <v>15</v>
      </c>
      <c r="S8" s="11">
        <v>67.900000000000006</v>
      </c>
      <c r="T8" s="8">
        <v>16</v>
      </c>
      <c r="U8" s="11">
        <v>60</v>
      </c>
      <c r="V8" s="8">
        <v>17</v>
      </c>
      <c r="W8" s="11">
        <v>53.4</v>
      </c>
      <c r="X8" s="8">
        <v>18</v>
      </c>
      <c r="Y8" s="11">
        <v>47.8</v>
      </c>
      <c r="Z8" s="8">
        <v>19</v>
      </c>
      <c r="AA8" s="11">
        <v>43</v>
      </c>
      <c r="AB8" s="8">
        <v>20</v>
      </c>
      <c r="AC8" s="11">
        <v>38.9</v>
      </c>
      <c r="AD8" s="8">
        <v>21</v>
      </c>
      <c r="AE8" s="11">
        <v>35.299999999999997</v>
      </c>
      <c r="AF8" s="8">
        <v>22</v>
      </c>
      <c r="AG8" s="11">
        <v>32.200000000000003</v>
      </c>
      <c r="AH8" s="8">
        <v>23</v>
      </c>
      <c r="AI8" s="11">
        <v>29.5</v>
      </c>
      <c r="AJ8" s="8">
        <v>24</v>
      </c>
      <c r="AK8" s="11">
        <v>27.2</v>
      </c>
      <c r="AL8" s="8">
        <v>25</v>
      </c>
      <c r="AM8" s="11">
        <v>25.1</v>
      </c>
    </row>
    <row r="9" spans="2:49" x14ac:dyDescent="0.2">
      <c r="B9" s="8">
        <v>8</v>
      </c>
      <c r="C9" s="11">
        <v>279.10000000000002</v>
      </c>
      <c r="D9" s="8">
        <v>9</v>
      </c>
      <c r="E9" s="11">
        <v>213.4</v>
      </c>
      <c r="F9" s="8">
        <v>10</v>
      </c>
      <c r="G9" s="11">
        <v>181.7</v>
      </c>
      <c r="H9" s="8">
        <v>11</v>
      </c>
      <c r="I9" s="11">
        <v>154.6</v>
      </c>
      <c r="J9" s="8">
        <v>12</v>
      </c>
      <c r="K9" s="8">
        <v>132</v>
      </c>
      <c r="L9" s="8">
        <v>13</v>
      </c>
      <c r="M9" s="11">
        <v>113.3</v>
      </c>
      <c r="N9" s="8">
        <v>14</v>
      </c>
      <c r="O9" s="11">
        <v>98.1</v>
      </c>
      <c r="P9" s="8">
        <v>15</v>
      </c>
      <c r="Q9" s="11">
        <v>85.6</v>
      </c>
      <c r="R9" s="8">
        <v>16</v>
      </c>
      <c r="S9" s="11">
        <v>75.3</v>
      </c>
      <c r="T9" s="8">
        <v>17</v>
      </c>
      <c r="U9" s="11">
        <v>66.7</v>
      </c>
      <c r="V9" s="8">
        <v>18</v>
      </c>
      <c r="W9" s="11">
        <v>59.4</v>
      </c>
      <c r="X9" s="8">
        <v>19</v>
      </c>
      <c r="Y9" s="11">
        <v>53.3</v>
      </c>
      <c r="Z9" s="8">
        <v>20</v>
      </c>
      <c r="AA9" s="11">
        <v>48</v>
      </c>
      <c r="AB9" s="8">
        <v>21</v>
      </c>
      <c r="AC9" s="11">
        <v>43.5</v>
      </c>
      <c r="AD9" s="8">
        <v>22</v>
      </c>
      <c r="AE9" s="11">
        <v>39.6</v>
      </c>
      <c r="AF9" s="8">
        <v>23</v>
      </c>
      <c r="AG9" s="11">
        <v>36.200000000000003</v>
      </c>
      <c r="AH9" s="8">
        <v>24</v>
      </c>
      <c r="AI9" s="11">
        <v>33.200000000000003</v>
      </c>
      <c r="AJ9" s="8">
        <v>25</v>
      </c>
      <c r="AK9" s="11">
        <v>30.6</v>
      </c>
    </row>
    <row r="10" spans="2:49" x14ac:dyDescent="0.2">
      <c r="B10" s="8">
        <v>9</v>
      </c>
      <c r="C10" s="11">
        <v>296.8</v>
      </c>
      <c r="D10" s="8">
        <v>10</v>
      </c>
      <c r="E10" s="11">
        <v>228.7</v>
      </c>
      <c r="F10" s="8">
        <v>11</v>
      </c>
      <c r="G10" s="11">
        <v>195</v>
      </c>
      <c r="H10" s="8">
        <v>12</v>
      </c>
      <c r="I10" s="11">
        <v>166.3</v>
      </c>
      <c r="J10" s="8">
        <v>13</v>
      </c>
      <c r="K10" s="8">
        <v>142.30000000000001</v>
      </c>
      <c r="L10" s="8">
        <v>14</v>
      </c>
      <c r="M10" s="11">
        <v>122.5</v>
      </c>
      <c r="N10" s="8">
        <v>15</v>
      </c>
      <c r="O10" s="11">
        <v>106.3</v>
      </c>
      <c r="P10" s="8">
        <v>16</v>
      </c>
      <c r="Q10" s="11">
        <v>93</v>
      </c>
      <c r="R10" s="8">
        <v>17</v>
      </c>
      <c r="S10" s="11">
        <v>81.900000000000006</v>
      </c>
      <c r="T10" s="8">
        <v>18</v>
      </c>
      <c r="U10" s="11">
        <v>72.7</v>
      </c>
      <c r="V10" s="8">
        <v>19</v>
      </c>
      <c r="W10" s="11">
        <v>64.900000000000006</v>
      </c>
      <c r="X10" s="8">
        <v>20</v>
      </c>
      <c r="Y10" s="11">
        <v>58.3</v>
      </c>
      <c r="Z10" s="8">
        <v>21</v>
      </c>
      <c r="AA10" s="11">
        <v>52.7</v>
      </c>
      <c r="AB10" s="8">
        <v>22</v>
      </c>
      <c r="AC10" s="11">
        <v>47.8</v>
      </c>
      <c r="AD10" s="8">
        <v>23</v>
      </c>
      <c r="AE10" s="11">
        <v>43.6</v>
      </c>
      <c r="AF10" s="8">
        <v>24</v>
      </c>
      <c r="AG10" s="11">
        <v>39.9</v>
      </c>
      <c r="AH10" s="8">
        <v>25</v>
      </c>
      <c r="AI10" s="11">
        <v>36.6</v>
      </c>
    </row>
    <row r="11" spans="2:49" x14ac:dyDescent="0.2">
      <c r="B11" s="8">
        <v>10</v>
      </c>
      <c r="C11" s="11">
        <v>312.10000000000002</v>
      </c>
      <c r="D11" s="8">
        <v>11</v>
      </c>
      <c r="E11" s="11">
        <v>242</v>
      </c>
      <c r="F11" s="8">
        <v>12</v>
      </c>
      <c r="G11" s="11">
        <v>206.6</v>
      </c>
      <c r="H11" s="8">
        <v>13</v>
      </c>
      <c r="I11" s="11">
        <v>176.6</v>
      </c>
      <c r="J11" s="8">
        <v>14</v>
      </c>
      <c r="K11" s="8">
        <v>151.4</v>
      </c>
      <c r="L11" s="8">
        <v>15</v>
      </c>
      <c r="M11" s="11">
        <v>120.7</v>
      </c>
      <c r="N11" s="8">
        <v>16</v>
      </c>
      <c r="O11" s="11">
        <v>113.7</v>
      </c>
      <c r="P11" s="8">
        <v>17</v>
      </c>
      <c r="Q11" s="11">
        <v>99.6</v>
      </c>
      <c r="R11" s="8">
        <v>18</v>
      </c>
      <c r="S11" s="11">
        <v>88</v>
      </c>
      <c r="T11" s="8">
        <v>19</v>
      </c>
      <c r="U11" s="11">
        <v>78.2</v>
      </c>
      <c r="V11" s="8">
        <v>20</v>
      </c>
      <c r="W11" s="11">
        <v>70</v>
      </c>
      <c r="X11" s="8">
        <v>21</v>
      </c>
      <c r="Y11" s="11">
        <v>63</v>
      </c>
      <c r="Z11" s="8">
        <v>22</v>
      </c>
      <c r="AA11" s="11">
        <v>57</v>
      </c>
      <c r="AB11" s="8">
        <v>23</v>
      </c>
      <c r="AC11" s="11">
        <v>51.8</v>
      </c>
      <c r="AD11" s="8">
        <v>24</v>
      </c>
      <c r="AE11" s="11">
        <v>47.3</v>
      </c>
      <c r="AF11" s="8">
        <v>25</v>
      </c>
      <c r="AG11" s="11">
        <v>43.3</v>
      </c>
    </row>
    <row r="12" spans="2:49" x14ac:dyDescent="0.2">
      <c r="B12" s="8">
        <v>11</v>
      </c>
      <c r="C12" s="11">
        <v>325.39999999999998</v>
      </c>
      <c r="D12" s="8">
        <v>12</v>
      </c>
      <c r="E12" s="11">
        <v>253.7</v>
      </c>
      <c r="F12" s="8">
        <v>13</v>
      </c>
      <c r="G12" s="11">
        <v>216.9</v>
      </c>
      <c r="H12" s="8">
        <v>14</v>
      </c>
      <c r="I12" s="11">
        <v>185.8</v>
      </c>
      <c r="J12" s="8">
        <v>15</v>
      </c>
      <c r="K12" s="8">
        <v>159.6</v>
      </c>
      <c r="L12" s="8">
        <v>16</v>
      </c>
      <c r="M12" s="11">
        <v>138.1</v>
      </c>
      <c r="N12" s="8">
        <v>17</v>
      </c>
      <c r="O12" s="11">
        <v>120.3</v>
      </c>
      <c r="P12" s="8">
        <v>18</v>
      </c>
      <c r="Q12" s="11">
        <v>105.7</v>
      </c>
      <c r="R12" s="8">
        <v>19</v>
      </c>
      <c r="S12" s="11">
        <v>93.5</v>
      </c>
      <c r="T12" s="8">
        <v>20</v>
      </c>
      <c r="U12" s="11">
        <v>83.3</v>
      </c>
      <c r="V12" s="8">
        <v>21</v>
      </c>
      <c r="W12" s="11">
        <v>74.599999999999994</v>
      </c>
      <c r="X12" s="8">
        <v>22</v>
      </c>
      <c r="Y12" s="11">
        <v>67.3</v>
      </c>
      <c r="Z12" s="8">
        <v>23</v>
      </c>
      <c r="AA12" s="11">
        <v>60.9</v>
      </c>
      <c r="AB12" s="8">
        <v>24</v>
      </c>
      <c r="AC12" s="11">
        <v>55.5</v>
      </c>
      <c r="AD12" s="8">
        <v>25</v>
      </c>
      <c r="AE12" s="11">
        <v>50.7</v>
      </c>
    </row>
    <row r="13" spans="2:49" x14ac:dyDescent="0.2">
      <c r="B13" s="8">
        <v>12</v>
      </c>
      <c r="C13" s="11">
        <v>337</v>
      </c>
      <c r="D13" s="8">
        <v>13</v>
      </c>
      <c r="E13" s="11">
        <v>264</v>
      </c>
      <c r="F13" s="8">
        <v>14</v>
      </c>
      <c r="G13" s="11">
        <v>226.1</v>
      </c>
      <c r="H13" s="8">
        <v>15</v>
      </c>
      <c r="I13" s="11">
        <v>193.9</v>
      </c>
      <c r="J13" s="8">
        <v>16</v>
      </c>
      <c r="K13" s="8">
        <v>167</v>
      </c>
      <c r="L13" s="8">
        <v>17</v>
      </c>
      <c r="M13" s="11">
        <v>144.69999999999999</v>
      </c>
      <c r="N13" s="8">
        <v>18</v>
      </c>
      <c r="O13" s="11">
        <v>126.4</v>
      </c>
      <c r="P13" s="8">
        <v>19</v>
      </c>
      <c r="Q13" s="11">
        <v>111.2</v>
      </c>
      <c r="R13" s="8">
        <v>20</v>
      </c>
      <c r="S13" s="11">
        <v>98.6</v>
      </c>
      <c r="T13" s="8">
        <v>21</v>
      </c>
      <c r="U13" s="11">
        <v>87.9</v>
      </c>
      <c r="V13" s="8">
        <v>22</v>
      </c>
      <c r="W13" s="11">
        <v>78.900000000000006</v>
      </c>
      <c r="X13" s="8">
        <v>23</v>
      </c>
      <c r="Y13" s="11">
        <v>71.2</v>
      </c>
      <c r="Z13" s="8">
        <v>24</v>
      </c>
      <c r="AA13" s="11">
        <v>64.599999999999994</v>
      </c>
      <c r="AB13" s="8">
        <v>25</v>
      </c>
      <c r="AC13" s="11">
        <v>58.9</v>
      </c>
    </row>
    <row r="14" spans="2:49" x14ac:dyDescent="0.2">
      <c r="B14" s="8">
        <v>13</v>
      </c>
      <c r="C14" s="11">
        <v>347.3</v>
      </c>
      <c r="D14" s="8">
        <v>14</v>
      </c>
      <c r="E14" s="11">
        <v>273.10000000000002</v>
      </c>
      <c r="F14" s="8">
        <v>15</v>
      </c>
      <c r="G14" s="11">
        <v>234.3</v>
      </c>
      <c r="H14" s="8">
        <v>16</v>
      </c>
      <c r="I14" s="11">
        <v>201.3</v>
      </c>
      <c r="J14" s="8">
        <v>17</v>
      </c>
      <c r="K14" s="8">
        <v>173.7</v>
      </c>
      <c r="L14" s="8">
        <v>18</v>
      </c>
      <c r="M14" s="11">
        <v>150.80000000000001</v>
      </c>
      <c r="N14" s="8">
        <v>19</v>
      </c>
      <c r="O14" s="11">
        <v>131.9</v>
      </c>
      <c r="P14" s="8">
        <v>20</v>
      </c>
      <c r="Q14" s="11">
        <v>116.3</v>
      </c>
      <c r="R14" s="8">
        <v>21</v>
      </c>
      <c r="S14" s="11">
        <v>103.2</v>
      </c>
      <c r="T14" s="8">
        <v>22</v>
      </c>
      <c r="U14" s="11">
        <v>92.2</v>
      </c>
      <c r="V14" s="8">
        <v>23</v>
      </c>
      <c r="W14" s="11">
        <v>82.9</v>
      </c>
      <c r="X14" s="8">
        <v>24</v>
      </c>
      <c r="Y14" s="11">
        <v>74.900000000000006</v>
      </c>
      <c r="Z14" s="8">
        <v>25</v>
      </c>
      <c r="AA14" s="11">
        <v>68</v>
      </c>
    </row>
    <row r="15" spans="2:49" x14ac:dyDescent="0.2">
      <c r="B15" s="8">
        <v>14</v>
      </c>
      <c r="C15" s="11">
        <v>356.5</v>
      </c>
      <c r="D15" s="8">
        <v>15</v>
      </c>
      <c r="E15" s="11">
        <v>281.3</v>
      </c>
      <c r="F15" s="8">
        <v>16</v>
      </c>
      <c r="G15" s="11">
        <v>241.7</v>
      </c>
      <c r="H15" s="8">
        <v>17</v>
      </c>
      <c r="I15" s="11">
        <v>208</v>
      </c>
      <c r="J15" s="8">
        <v>18</v>
      </c>
      <c r="K15" s="8">
        <v>179.7</v>
      </c>
      <c r="L15" s="8">
        <v>19</v>
      </c>
      <c r="M15" s="11">
        <v>156.30000000000001</v>
      </c>
      <c r="N15" s="8">
        <v>20</v>
      </c>
      <c r="O15" s="11">
        <v>137</v>
      </c>
      <c r="P15" s="8">
        <v>21</v>
      </c>
      <c r="Q15" s="11">
        <v>120.9</v>
      </c>
      <c r="R15" s="8">
        <v>22</v>
      </c>
      <c r="S15" s="11">
        <v>107.5</v>
      </c>
      <c r="T15" s="8">
        <v>23</v>
      </c>
      <c r="U15" s="11">
        <v>96.2</v>
      </c>
      <c r="V15" s="8">
        <v>24</v>
      </c>
      <c r="W15" s="11">
        <v>86.6</v>
      </c>
      <c r="X15" s="8">
        <v>25</v>
      </c>
      <c r="Y15" s="11">
        <v>78.3</v>
      </c>
    </row>
    <row r="16" spans="2:49" x14ac:dyDescent="0.2">
      <c r="B16" s="8">
        <v>15</v>
      </c>
      <c r="C16" s="11">
        <v>364.7</v>
      </c>
      <c r="D16" s="8">
        <v>16</v>
      </c>
      <c r="E16" s="11">
        <v>288.7</v>
      </c>
      <c r="F16" s="8">
        <v>17</v>
      </c>
      <c r="G16" s="11">
        <v>248.3</v>
      </c>
      <c r="H16" s="8">
        <v>18</v>
      </c>
      <c r="I16" s="11">
        <v>214</v>
      </c>
      <c r="J16" s="8">
        <v>19</v>
      </c>
      <c r="K16" s="8">
        <v>185.2</v>
      </c>
      <c r="L16" s="8">
        <v>20</v>
      </c>
      <c r="M16" s="11">
        <v>161.4</v>
      </c>
      <c r="N16" s="8">
        <v>21</v>
      </c>
      <c r="O16" s="11">
        <v>141.6</v>
      </c>
      <c r="P16" s="8">
        <v>22</v>
      </c>
      <c r="Q16" s="11">
        <v>125.2</v>
      </c>
      <c r="R16" s="8">
        <v>23</v>
      </c>
      <c r="S16" s="11">
        <v>111.5</v>
      </c>
      <c r="T16" s="8">
        <v>24</v>
      </c>
      <c r="U16" s="11">
        <v>99.9</v>
      </c>
      <c r="V16" s="8">
        <v>25</v>
      </c>
      <c r="W16" s="11">
        <v>90</v>
      </c>
    </row>
    <row r="17" spans="2:21" x14ac:dyDescent="0.2">
      <c r="B17" s="8">
        <v>16</v>
      </c>
      <c r="C17" s="11">
        <v>372.1</v>
      </c>
      <c r="D17" s="8">
        <v>17</v>
      </c>
      <c r="E17" s="11">
        <v>295.39999999999998</v>
      </c>
      <c r="F17" s="8">
        <v>18</v>
      </c>
      <c r="G17" s="11">
        <v>254.4</v>
      </c>
      <c r="H17" s="8">
        <v>19</v>
      </c>
      <c r="I17" s="11">
        <v>219.6</v>
      </c>
      <c r="J17" s="8">
        <v>20</v>
      </c>
      <c r="K17" s="9">
        <v>190.3</v>
      </c>
      <c r="L17" s="8">
        <v>21</v>
      </c>
      <c r="M17" s="11">
        <v>166</v>
      </c>
      <c r="N17" s="8">
        <v>22</v>
      </c>
      <c r="O17" s="11">
        <v>145.9</v>
      </c>
      <c r="P17" s="8">
        <v>23</v>
      </c>
      <c r="Q17" s="11">
        <v>129.19999999999999</v>
      </c>
      <c r="R17" s="8">
        <v>24</v>
      </c>
      <c r="S17" s="11">
        <v>115.2</v>
      </c>
      <c r="T17" s="8">
        <v>25</v>
      </c>
      <c r="U17" s="11">
        <v>103.3</v>
      </c>
    </row>
    <row r="18" spans="2:21" x14ac:dyDescent="0.2">
      <c r="B18" s="8">
        <v>17</v>
      </c>
      <c r="C18" s="11">
        <v>378.7</v>
      </c>
      <c r="D18" s="8">
        <v>18</v>
      </c>
      <c r="E18" s="11">
        <v>301.39999999999998</v>
      </c>
      <c r="F18" s="8">
        <v>19</v>
      </c>
      <c r="G18" s="11">
        <v>259.89999999999998</v>
      </c>
      <c r="H18" s="8">
        <v>20</v>
      </c>
      <c r="I18" s="11">
        <v>224.6</v>
      </c>
      <c r="J18" s="8">
        <v>21</v>
      </c>
      <c r="K18" s="8">
        <v>194.9</v>
      </c>
      <c r="L18" s="8">
        <v>22</v>
      </c>
      <c r="M18" s="11">
        <v>170.3</v>
      </c>
      <c r="N18" s="8">
        <v>23</v>
      </c>
      <c r="O18" s="11">
        <v>149.9</v>
      </c>
      <c r="P18" s="8">
        <v>24</v>
      </c>
      <c r="Q18" s="11">
        <v>132.9</v>
      </c>
      <c r="R18" s="8">
        <v>25</v>
      </c>
      <c r="S18" s="11">
        <v>118.6</v>
      </c>
    </row>
    <row r="19" spans="2:21" x14ac:dyDescent="0.2">
      <c r="B19" s="8">
        <v>18</v>
      </c>
      <c r="C19" s="11">
        <v>384.8</v>
      </c>
      <c r="D19" s="8">
        <v>19</v>
      </c>
      <c r="E19" s="11">
        <v>306.89999999999998</v>
      </c>
      <c r="F19" s="8">
        <v>20</v>
      </c>
      <c r="G19" s="11">
        <v>265</v>
      </c>
      <c r="H19" s="8">
        <v>21</v>
      </c>
      <c r="I19" s="11">
        <v>229.3</v>
      </c>
      <c r="J19" s="8">
        <v>22</v>
      </c>
      <c r="K19" s="8">
        <v>199.2</v>
      </c>
      <c r="L19" s="8">
        <v>23</v>
      </c>
      <c r="M19" s="11">
        <v>174.3</v>
      </c>
      <c r="N19" s="8">
        <v>24</v>
      </c>
      <c r="O19" s="11">
        <v>153.6</v>
      </c>
      <c r="P19" s="8">
        <v>25</v>
      </c>
      <c r="Q19" s="11">
        <v>136.30000000000001</v>
      </c>
    </row>
    <row r="20" spans="2:21" x14ac:dyDescent="0.2">
      <c r="B20" s="8">
        <v>19</v>
      </c>
      <c r="C20" s="11">
        <v>390.3</v>
      </c>
      <c r="D20" s="8">
        <v>20</v>
      </c>
      <c r="E20" s="11">
        <v>312</v>
      </c>
      <c r="F20" s="8">
        <v>21</v>
      </c>
      <c r="G20" s="11">
        <v>269.60000000000002</v>
      </c>
      <c r="H20" s="8">
        <v>22</v>
      </c>
      <c r="I20" s="11">
        <v>233.6</v>
      </c>
      <c r="J20" s="8">
        <v>23</v>
      </c>
      <c r="K20" s="8">
        <v>203.2</v>
      </c>
      <c r="L20" s="8">
        <v>24</v>
      </c>
      <c r="M20" s="11">
        <v>178</v>
      </c>
      <c r="N20" s="8">
        <v>25</v>
      </c>
      <c r="O20" s="11">
        <v>157</v>
      </c>
    </row>
    <row r="21" spans="2:21" x14ac:dyDescent="0.2">
      <c r="B21" s="8">
        <v>20</v>
      </c>
      <c r="C21" s="11">
        <v>395.4</v>
      </c>
      <c r="D21" s="8">
        <v>21</v>
      </c>
      <c r="E21" s="11">
        <v>316.7</v>
      </c>
      <c r="F21" s="8">
        <v>22</v>
      </c>
      <c r="G21" s="11">
        <v>273.89999999999998</v>
      </c>
      <c r="H21" s="8">
        <v>23</v>
      </c>
      <c r="I21" s="11">
        <v>237.5</v>
      </c>
      <c r="J21" s="8">
        <v>24</v>
      </c>
      <c r="K21" s="8">
        <v>206.9</v>
      </c>
      <c r="L21" s="8">
        <v>25</v>
      </c>
      <c r="M21" s="11">
        <v>181.4</v>
      </c>
    </row>
    <row r="22" spans="2:21" x14ac:dyDescent="0.2">
      <c r="B22" s="8">
        <v>21</v>
      </c>
      <c r="C22" s="11">
        <v>400</v>
      </c>
      <c r="D22" s="8">
        <v>22</v>
      </c>
      <c r="E22" s="11">
        <v>320.89999999999998</v>
      </c>
      <c r="F22" s="8">
        <v>23</v>
      </c>
      <c r="G22" s="11">
        <v>277.89999999999998</v>
      </c>
      <c r="H22" s="8">
        <v>24</v>
      </c>
      <c r="I22" s="11">
        <v>241.2</v>
      </c>
      <c r="J22" s="8">
        <v>25</v>
      </c>
      <c r="K22" s="8">
        <v>210.3</v>
      </c>
    </row>
    <row r="23" spans="2:21" x14ac:dyDescent="0.2">
      <c r="B23" s="8">
        <v>22</v>
      </c>
      <c r="C23" s="11">
        <v>404.3</v>
      </c>
      <c r="D23" s="8">
        <v>23</v>
      </c>
      <c r="E23" s="11">
        <v>324.89999999999998</v>
      </c>
      <c r="F23" s="8">
        <v>24</v>
      </c>
      <c r="G23" s="11">
        <v>281.5</v>
      </c>
      <c r="H23" s="8">
        <v>25</v>
      </c>
      <c r="I23" s="11">
        <v>244.6</v>
      </c>
    </row>
    <row r="24" spans="2:21" x14ac:dyDescent="0.2">
      <c r="B24" s="8">
        <v>23</v>
      </c>
      <c r="C24" s="11">
        <v>408.3</v>
      </c>
      <c r="D24" s="8">
        <v>24</v>
      </c>
      <c r="E24" s="11">
        <v>328.6</v>
      </c>
      <c r="F24" s="8">
        <v>25</v>
      </c>
      <c r="G24" s="11">
        <v>285</v>
      </c>
    </row>
    <row r="25" spans="2:21" x14ac:dyDescent="0.2">
      <c r="B25" s="8">
        <v>24</v>
      </c>
      <c r="C25" s="11">
        <v>412</v>
      </c>
      <c r="D25" s="8">
        <v>25</v>
      </c>
      <c r="E25" s="11">
        <v>332</v>
      </c>
    </row>
    <row r="26" spans="2:21" x14ac:dyDescent="0.2">
      <c r="B26" s="8">
        <v>25</v>
      </c>
      <c r="C26" s="11">
        <v>415.4</v>
      </c>
    </row>
    <row r="29" spans="2:21" ht="18" x14ac:dyDescent="0.2">
      <c r="B29" s="23" t="s">
        <v>494</v>
      </c>
    </row>
  </sheetData>
  <pageMargins left="0.7" right="0.7" top="0.75" bottom="0.75" header="0.3" footer="0.3"/>
  <pageSetup orientation="portrait" r:id="rId1"/>
  <customProperties>
    <customPr name="_pios_id" r:id="rId2"/>
  </customPropertie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euil22">
    <tabColor theme="2" tint="-0.499984740745262"/>
  </sheetPr>
  <dimension ref="B1:G35"/>
  <sheetViews>
    <sheetView showGridLines="0" workbookViewId="0">
      <selection activeCell="K34" sqref="K34"/>
    </sheetView>
  </sheetViews>
  <sheetFormatPr baseColWidth="10" defaultColWidth="11" defaultRowHeight="14.25" x14ac:dyDescent="0.2"/>
  <cols>
    <col min="1" max="1" width="1.5" customWidth="1"/>
    <col min="2" max="2" width="60.5" customWidth="1"/>
    <col min="3" max="3" width="28.125" customWidth="1"/>
    <col min="4" max="4" width="19.125" customWidth="1"/>
    <col min="5" max="5" width="16.625" customWidth="1"/>
    <col min="9" max="12" width="10"/>
    <col min="13" max="13" width="46.125" customWidth="1"/>
  </cols>
  <sheetData>
    <row r="1" spans="2:7" ht="9" customHeight="1" x14ac:dyDescent="0.2"/>
    <row r="3" spans="2:7" x14ac:dyDescent="0.2">
      <c r="B3" s="151" t="s">
        <v>211</v>
      </c>
      <c r="C3" s="151" t="s">
        <v>495</v>
      </c>
      <c r="D3" s="151" t="s">
        <v>496</v>
      </c>
      <c r="E3" s="90"/>
      <c r="F3" s="90"/>
      <c r="G3" s="90"/>
    </row>
    <row r="4" spans="2:7" ht="28.5" x14ac:dyDescent="0.2">
      <c r="B4" s="152" t="s">
        <v>497</v>
      </c>
      <c r="C4" s="153">
        <v>5580</v>
      </c>
      <c r="D4" s="154" t="s">
        <v>498</v>
      </c>
      <c r="E4" s="90"/>
      <c r="F4" s="90"/>
      <c r="G4" s="90"/>
    </row>
    <row r="5" spans="2:7" ht="28.5" x14ac:dyDescent="0.2">
      <c r="B5" s="152" t="s">
        <v>497</v>
      </c>
      <c r="C5" s="153">
        <v>55800</v>
      </c>
      <c r="D5" s="154" t="s">
        <v>499</v>
      </c>
      <c r="E5" s="90"/>
      <c r="F5" s="90"/>
      <c r="G5" s="90"/>
    </row>
    <row r="6" spans="2:7" x14ac:dyDescent="0.2">
      <c r="B6" s="155" t="s">
        <v>500</v>
      </c>
      <c r="C6" s="153">
        <v>37000</v>
      </c>
      <c r="D6" s="154" t="s">
        <v>498</v>
      </c>
      <c r="E6" s="90"/>
      <c r="F6" s="90"/>
      <c r="G6" s="90"/>
    </row>
    <row r="7" spans="2:7" ht="28.5" x14ac:dyDescent="0.2">
      <c r="B7" s="152" t="s">
        <v>501</v>
      </c>
      <c r="C7" s="153">
        <v>55800</v>
      </c>
      <c r="D7" s="154" t="s">
        <v>498</v>
      </c>
      <c r="E7" s="90"/>
      <c r="F7" s="90"/>
      <c r="G7" s="90"/>
    </row>
    <row r="8" spans="2:7" x14ac:dyDescent="0.2">
      <c r="B8" s="90"/>
      <c r="C8" s="90"/>
      <c r="D8" s="90"/>
      <c r="E8" s="90"/>
      <c r="F8" s="90"/>
      <c r="G8" s="90"/>
    </row>
    <row r="9" spans="2:7" ht="15" x14ac:dyDescent="0.25">
      <c r="B9" s="156" t="s">
        <v>502</v>
      </c>
      <c r="C9" s="90"/>
      <c r="D9" s="90"/>
      <c r="E9" s="90"/>
      <c r="F9" s="90"/>
      <c r="G9" s="90"/>
    </row>
    <row r="10" spans="2:7" x14ac:dyDescent="0.2">
      <c r="B10" s="90"/>
      <c r="C10" s="90"/>
      <c r="D10" s="90"/>
      <c r="E10" s="90"/>
      <c r="F10" s="90"/>
      <c r="G10" s="90"/>
    </row>
    <row r="11" spans="2:7" x14ac:dyDescent="0.2">
      <c r="B11" s="155"/>
      <c r="C11" s="151" t="s">
        <v>503</v>
      </c>
      <c r="D11" s="151" t="s">
        <v>504</v>
      </c>
      <c r="E11" s="151" t="s">
        <v>505</v>
      </c>
      <c r="F11" s="90"/>
      <c r="G11" s="90"/>
    </row>
    <row r="12" spans="2:7" x14ac:dyDescent="0.2">
      <c r="B12" s="155" t="s">
        <v>506</v>
      </c>
      <c r="C12" s="157" t="e">
        <f>IF('2 - Description of the work'!#REF!="","",VLOOKUP('2 - Description of the work'!#REF!,'Autres mesures'!B4:C7,2,FALSE))</f>
        <v>#REF!</v>
      </c>
      <c r="D12" s="155" t="e">
        <f>IF(C12="",0,'2 - Description of the work'!#REF!)</f>
        <v>#REF!</v>
      </c>
      <c r="E12" s="157">
        <f>IFERROR(C12*D12,0)</f>
        <v>0</v>
      </c>
      <c r="F12" s="90"/>
      <c r="G12" s="90"/>
    </row>
    <row r="13" spans="2:7" x14ac:dyDescent="0.2">
      <c r="B13" s="155" t="s">
        <v>507</v>
      </c>
      <c r="C13" s="157" t="e">
        <f>IF('2 - Description of the work'!#REF!="","",VLOOKUP('2 - Description of the work'!#REF!,'Autres mesures'!B4:C7,2,FALSE))</f>
        <v>#REF!</v>
      </c>
      <c r="D13" s="155" t="e">
        <f>IF(C13="",0,'2 - Description of the work'!#REF!)</f>
        <v>#REF!</v>
      </c>
      <c r="E13" s="157">
        <f>IFERROR(C13*D13,0)</f>
        <v>0</v>
      </c>
      <c r="F13" s="90"/>
      <c r="G13" s="90"/>
    </row>
    <row r="14" spans="2:7" ht="15" x14ac:dyDescent="0.25">
      <c r="B14" s="90"/>
      <c r="C14" s="90"/>
      <c r="D14" s="158">
        <f>IFERROR(SUM(D12:D13),0)</f>
        <v>0</v>
      </c>
      <c r="E14" s="90"/>
      <c r="F14" s="90"/>
      <c r="G14" s="90"/>
    </row>
    <row r="15" spans="2:7" x14ac:dyDescent="0.2">
      <c r="B15" s="90"/>
      <c r="C15" s="90"/>
      <c r="D15" s="90"/>
      <c r="E15" s="90"/>
      <c r="F15" s="90"/>
      <c r="G15" s="90"/>
    </row>
    <row r="16" spans="2:7" ht="15" x14ac:dyDescent="0.25">
      <c r="B16" s="156" t="s">
        <v>508</v>
      </c>
      <c r="C16" s="90"/>
      <c r="D16" s="90"/>
      <c r="E16" s="90"/>
      <c r="F16" s="90"/>
      <c r="G16" s="90"/>
    </row>
    <row r="17" spans="2:7" x14ac:dyDescent="0.2">
      <c r="B17" s="90"/>
      <c r="C17" s="90"/>
      <c r="D17" s="90"/>
      <c r="E17" s="90"/>
      <c r="F17" s="90"/>
      <c r="G17" s="90"/>
    </row>
    <row r="18" spans="2:7" ht="15" x14ac:dyDescent="0.25">
      <c r="B18" s="159" t="s">
        <v>509</v>
      </c>
      <c r="C18" s="90"/>
      <c r="D18" s="90"/>
      <c r="E18" s="90"/>
      <c r="F18" s="90"/>
      <c r="G18" s="90"/>
    </row>
    <row r="19" spans="2:7" x14ac:dyDescent="0.2">
      <c r="B19" s="151" t="s">
        <v>211</v>
      </c>
      <c r="C19" s="90"/>
      <c r="D19" s="90"/>
      <c r="E19" s="90"/>
      <c r="F19" s="90"/>
      <c r="G19" s="90"/>
    </row>
    <row r="20" spans="2:7" x14ac:dyDescent="0.2">
      <c r="B20" s="155" t="s">
        <v>510</v>
      </c>
      <c r="C20" s="90"/>
      <c r="D20" s="90"/>
      <c r="E20" s="90"/>
      <c r="F20" s="90"/>
      <c r="G20" s="90"/>
    </row>
    <row r="21" spans="2:7" x14ac:dyDescent="0.2">
      <c r="B21" s="155" t="s">
        <v>511</v>
      </c>
      <c r="C21" s="90"/>
      <c r="D21" s="90"/>
      <c r="E21" s="90"/>
      <c r="F21" s="90"/>
      <c r="G21" s="90"/>
    </row>
    <row r="22" spans="2:7" ht="53.1" customHeight="1" x14ac:dyDescent="0.2">
      <c r="B22" s="155" t="s">
        <v>512</v>
      </c>
      <c r="C22" s="90"/>
      <c r="D22" s="90"/>
      <c r="E22" s="90"/>
      <c r="F22" s="90"/>
      <c r="G22" s="90"/>
    </row>
    <row r="23" spans="2:7" ht="53.1" customHeight="1" x14ac:dyDescent="0.2">
      <c r="B23" s="155" t="s">
        <v>513</v>
      </c>
      <c r="C23" s="90"/>
      <c r="D23" s="90"/>
      <c r="E23" s="90"/>
      <c r="F23" s="90"/>
      <c r="G23" s="90"/>
    </row>
    <row r="24" spans="2:7" ht="53.1" customHeight="1" x14ac:dyDescent="0.2"/>
    <row r="25" spans="2:7" ht="53.1" customHeight="1" x14ac:dyDescent="0.2">
      <c r="B25" t="s">
        <v>514</v>
      </c>
      <c r="C25" t="s">
        <v>515</v>
      </c>
      <c r="D25" t="s">
        <v>495</v>
      </c>
      <c r="E25" t="s">
        <v>496</v>
      </c>
    </row>
    <row r="26" spans="2:7" ht="50.1" customHeight="1" x14ac:dyDescent="0.2">
      <c r="B26" s="94" t="s">
        <v>516</v>
      </c>
      <c r="C26" s="141" t="s">
        <v>517</v>
      </c>
      <c r="D26" s="142">
        <v>2790</v>
      </c>
      <c r="E26" s="141" t="s">
        <v>498</v>
      </c>
    </row>
    <row r="27" spans="2:7" ht="50.1" customHeight="1" x14ac:dyDescent="0.2">
      <c r="B27" s="94" t="s">
        <v>518</v>
      </c>
      <c r="C27" s="141" t="s">
        <v>517</v>
      </c>
      <c r="D27" s="142">
        <v>5580</v>
      </c>
      <c r="E27" s="141" t="s">
        <v>498</v>
      </c>
    </row>
    <row r="28" spans="2:7" ht="50.1" customHeight="1" x14ac:dyDescent="0.2">
      <c r="B28" s="141" t="s">
        <v>519</v>
      </c>
      <c r="C28" s="141" t="s">
        <v>517</v>
      </c>
      <c r="D28" s="142">
        <v>37000</v>
      </c>
      <c r="E28" s="141" t="s">
        <v>520</v>
      </c>
    </row>
    <row r="29" spans="2:7" ht="50.1" customHeight="1" x14ac:dyDescent="0.2">
      <c r="B29" s="94" t="s">
        <v>521</v>
      </c>
      <c r="C29" s="141" t="s">
        <v>517</v>
      </c>
      <c r="D29" s="142">
        <v>27900</v>
      </c>
      <c r="E29" s="141" t="s">
        <v>498</v>
      </c>
    </row>
    <row r="30" spans="2:7" ht="50.1" customHeight="1" x14ac:dyDescent="0.2">
      <c r="B30" s="94" t="s">
        <v>522</v>
      </c>
      <c r="C30" s="141" t="s">
        <v>517</v>
      </c>
      <c r="D30" s="142">
        <v>55800</v>
      </c>
      <c r="E30" s="141" t="s">
        <v>498</v>
      </c>
    </row>
    <row r="31" spans="2:7" ht="50.1" customHeight="1" x14ac:dyDescent="0.2">
      <c r="B31" s="94" t="s">
        <v>523</v>
      </c>
      <c r="C31" s="141" t="s">
        <v>517</v>
      </c>
      <c r="D31" s="142">
        <v>55800</v>
      </c>
      <c r="E31" s="141" t="s">
        <v>498</v>
      </c>
    </row>
    <row r="32" spans="2:7" ht="50.1" customHeight="1" x14ac:dyDescent="0.2">
      <c r="B32" s="94" t="s">
        <v>524</v>
      </c>
      <c r="C32" s="141" t="s">
        <v>517</v>
      </c>
      <c r="D32" s="142">
        <v>55800</v>
      </c>
      <c r="E32" s="141" t="s">
        <v>498</v>
      </c>
    </row>
    <row r="33" spans="2:5" ht="50.1" customHeight="1" x14ac:dyDescent="0.2">
      <c r="B33" s="94" t="s">
        <v>525</v>
      </c>
      <c r="C33" s="141" t="s">
        <v>526</v>
      </c>
      <c r="D33" s="142">
        <v>1860</v>
      </c>
      <c r="E33" s="141" t="s">
        <v>527</v>
      </c>
    </row>
    <row r="34" spans="2:5" ht="50.1" customHeight="1" x14ac:dyDescent="0.2">
      <c r="B34" s="94" t="s">
        <v>528</v>
      </c>
      <c r="C34" s="141" t="s">
        <v>526</v>
      </c>
      <c r="D34" s="142">
        <v>3720</v>
      </c>
      <c r="E34" s="141" t="s">
        <v>527</v>
      </c>
    </row>
    <row r="35" spans="2:5" ht="50.1" customHeight="1" x14ac:dyDescent="0.2">
      <c r="B35" s="94" t="s">
        <v>529</v>
      </c>
      <c r="C35" s="141" t="s">
        <v>530</v>
      </c>
      <c r="D35" s="142">
        <v>372</v>
      </c>
      <c r="E35" s="141" t="s">
        <v>527</v>
      </c>
    </row>
  </sheetData>
  <pageMargins left="0.7" right="0.7" top="0.75" bottom="0.75" header="0.3" footer="0.3"/>
  <pageSetup orientation="portrait" verticalDpi="0" r:id="rId1"/>
  <customProperties>
    <customPr name="_pios_id" r:id="rId2"/>
  </customProperties>
  <drawing r:id="rId3"/>
  <legacyDrawing r:id="rId4"/>
  <tableParts count="1">
    <tablePart r:id="rId5"/>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50283D-6550-4501-9C5F-6F5F99463017}">
  <dimension ref="A1:S157"/>
  <sheetViews>
    <sheetView showGridLines="0" zoomScale="110" zoomScaleNormal="110" zoomScaleSheetLayoutView="100" workbookViewId="0">
      <selection activeCell="F17" sqref="F17"/>
    </sheetView>
  </sheetViews>
  <sheetFormatPr baseColWidth="10" defaultColWidth="11.375" defaultRowHeight="14.25" x14ac:dyDescent="0.2"/>
  <cols>
    <col min="1" max="1" width="2.625" style="25" customWidth="1"/>
    <col min="2" max="2" width="2.875" style="25" customWidth="1"/>
    <col min="3" max="3" width="13.5" style="25" customWidth="1"/>
    <col min="4" max="10" width="13.625" style="25" customWidth="1"/>
    <col min="11" max="11" width="13.5" style="25" customWidth="1"/>
    <col min="12" max="12" width="11.625" style="25" customWidth="1"/>
    <col min="13" max="14" width="2.625" style="25" customWidth="1"/>
    <col min="15" max="15" width="23.75" style="25" customWidth="1"/>
    <col min="16" max="16" width="2.625" style="25" customWidth="1"/>
    <col min="17" max="19" width="20.625" style="25" customWidth="1"/>
    <col min="20" max="20" width="12.875" style="25" customWidth="1"/>
    <col min="21" max="21" width="11.375" style="25"/>
    <col min="22" max="22" width="24.375" style="25" customWidth="1"/>
    <col min="23" max="23" width="13.125" style="25" bestFit="1" customWidth="1"/>
    <col min="24" max="25" width="11.375" style="25"/>
    <col min="26" max="26" width="13.875" style="25" customWidth="1"/>
    <col min="27" max="16384" width="11.375" style="25"/>
  </cols>
  <sheetData>
    <row r="1" spans="2:13" ht="15" customHeight="1" x14ac:dyDescent="0.3">
      <c r="E1" s="201"/>
      <c r="F1" s="201"/>
      <c r="G1" s="201"/>
      <c r="H1" s="201"/>
      <c r="I1" s="201"/>
      <c r="J1" s="201"/>
      <c r="K1" s="201"/>
      <c r="L1" s="201"/>
    </row>
    <row r="2" spans="2:13" ht="24.95" customHeight="1" x14ac:dyDescent="0.3">
      <c r="C2" s="201" t="s">
        <v>0</v>
      </c>
      <c r="E2" s="201"/>
      <c r="F2" s="201"/>
      <c r="G2" s="201"/>
      <c r="H2" s="201"/>
      <c r="I2" s="201"/>
      <c r="J2" s="201"/>
      <c r="K2" s="201"/>
      <c r="L2" s="201"/>
    </row>
    <row r="3" spans="2:13" ht="24.95" customHeight="1" x14ac:dyDescent="0.3">
      <c r="C3" s="204" t="s">
        <v>1</v>
      </c>
      <c r="E3" s="201"/>
      <c r="F3" s="201"/>
      <c r="G3" s="201"/>
      <c r="H3" s="201"/>
      <c r="I3" s="201"/>
      <c r="J3" s="201"/>
      <c r="K3" s="201"/>
      <c r="L3" s="201"/>
    </row>
    <row r="4" spans="2:13" ht="24.95" customHeight="1" x14ac:dyDescent="0.3">
      <c r="C4" s="205" t="s">
        <v>2</v>
      </c>
      <c r="D4"/>
      <c r="E4" s="203"/>
      <c r="F4" s="202"/>
      <c r="G4" s="201"/>
      <c r="H4" s="201"/>
      <c r="I4" s="201"/>
      <c r="J4" s="201"/>
      <c r="K4" s="201"/>
      <c r="L4" s="201"/>
    </row>
    <row r="5" spans="2:13" x14ac:dyDescent="0.2">
      <c r="B5" s="30"/>
      <c r="C5" s="29"/>
      <c r="D5" s="29"/>
      <c r="E5" s="29"/>
      <c r="F5" s="29"/>
      <c r="G5" s="29"/>
      <c r="H5" s="29"/>
      <c r="I5" s="29"/>
      <c r="J5" s="29"/>
      <c r="K5" s="29"/>
      <c r="L5" s="29"/>
    </row>
    <row r="6" spans="2:13" ht="15" customHeight="1" x14ac:dyDescent="0.2">
      <c r="B6" s="209"/>
      <c r="C6" s="210" t="s">
        <v>52</v>
      </c>
      <c r="D6" s="209"/>
      <c r="E6" s="209"/>
      <c r="F6" s="209"/>
      <c r="G6" s="209"/>
      <c r="H6" s="209"/>
      <c r="I6" s="209"/>
      <c r="J6" s="209"/>
      <c r="K6" s="209"/>
      <c r="L6" s="209"/>
      <c r="M6" s="209"/>
    </row>
    <row r="7" spans="2:13" ht="6.95" customHeight="1" thickBot="1" x14ac:dyDescent="0.25">
      <c r="B7" s="98"/>
      <c r="C7" s="98"/>
      <c r="D7" s="98"/>
      <c r="E7" s="98"/>
      <c r="F7" s="98"/>
      <c r="G7" s="98"/>
      <c r="H7" s="98"/>
      <c r="I7" s="98"/>
      <c r="J7" s="98"/>
      <c r="K7" s="98"/>
      <c r="L7" s="98"/>
      <c r="M7" s="98"/>
    </row>
    <row r="8" spans="2:13" ht="15.6" customHeight="1" thickBot="1" x14ac:dyDescent="0.25">
      <c r="B8" s="223"/>
      <c r="C8" s="348" t="s">
        <v>53</v>
      </c>
      <c r="D8" s="244"/>
      <c r="E8" s="105"/>
      <c r="F8" s="105"/>
      <c r="G8" s="98"/>
      <c r="H8" s="172"/>
      <c r="I8" s="98"/>
      <c r="J8" s="98"/>
      <c r="K8" s="98"/>
      <c r="L8" s="98"/>
      <c r="M8" s="215"/>
    </row>
    <row r="9" spans="2:13" ht="6.95" customHeight="1" thickBot="1" x14ac:dyDescent="0.25">
      <c r="B9" s="223"/>
      <c r="C9" s="98"/>
      <c r="D9" s="98"/>
      <c r="E9" s="98"/>
      <c r="F9" s="98"/>
      <c r="G9" s="98"/>
      <c r="H9" s="98"/>
      <c r="I9" s="98"/>
      <c r="J9" s="98"/>
      <c r="K9" s="98"/>
      <c r="L9" s="98"/>
      <c r="M9" s="215"/>
    </row>
    <row r="10" spans="2:13" ht="15" customHeight="1" thickBot="1" x14ac:dyDescent="0.25">
      <c r="B10" s="223"/>
      <c r="C10" s="348" t="s">
        <v>54</v>
      </c>
      <c r="D10" s="348"/>
      <c r="E10" s="348"/>
      <c r="F10" s="348"/>
      <c r="G10" s="348"/>
      <c r="H10" s="172"/>
      <c r="I10" s="245" t="str">
        <f>IFERROR(VLOOKUP(H10,Contrôle!$Y$3:$AA$5,3,FALSE),"")</f>
        <v/>
      </c>
      <c r="J10" s="348" t="str">
        <f>IF(H10 = "R", "imperial unit", "international unit")</f>
        <v>international unit</v>
      </c>
      <c r="K10" s="348"/>
      <c r="L10" s="348"/>
      <c r="M10" s="348"/>
    </row>
    <row r="11" spans="2:13" ht="15" customHeight="1" x14ac:dyDescent="0.2">
      <c r="B11" s="223"/>
      <c r="C11" s="348" t="s">
        <v>55</v>
      </c>
      <c r="D11" s="348"/>
      <c r="E11" s="348"/>
      <c r="F11" s="348"/>
      <c r="G11" s="348"/>
      <c r="H11" s="348"/>
      <c r="I11" s="98"/>
      <c r="J11" s="98"/>
      <c r="K11" s="98"/>
      <c r="L11" s="98"/>
      <c r="M11" s="215"/>
    </row>
    <row r="12" spans="2:13" x14ac:dyDescent="0.2">
      <c r="B12" s="223"/>
      <c r="C12" s="348"/>
      <c r="D12" s="348"/>
      <c r="E12" s="348"/>
      <c r="F12" s="348"/>
      <c r="G12" s="348"/>
      <c r="H12" s="348"/>
      <c r="I12" s="98"/>
      <c r="J12" s="98"/>
      <c r="K12" s="98"/>
      <c r="L12" s="98"/>
      <c r="M12" s="215"/>
    </row>
    <row r="13" spans="2:13" ht="57.75" customHeight="1" x14ac:dyDescent="0.2">
      <c r="B13" s="223"/>
      <c r="C13" s="396" t="s">
        <v>56</v>
      </c>
      <c r="D13" s="396"/>
      <c r="E13" s="396"/>
      <c r="F13" s="396"/>
      <c r="G13" s="396"/>
      <c r="H13" s="396"/>
      <c r="I13" s="396"/>
      <c r="J13" s="396"/>
      <c r="K13" s="396"/>
      <c r="L13" s="396"/>
      <c r="M13" s="215"/>
    </row>
    <row r="14" spans="2:13" ht="21.95" customHeight="1" x14ac:dyDescent="0.2">
      <c r="B14" s="223"/>
      <c r="C14" s="105" t="s">
        <v>57</v>
      </c>
      <c r="D14" s="223"/>
      <c r="E14" s="223"/>
      <c r="F14" s="223"/>
      <c r="G14" s="223"/>
      <c r="H14" s="223"/>
      <c r="I14" s="223"/>
      <c r="J14" s="223"/>
      <c r="K14" s="223"/>
      <c r="L14" s="98"/>
      <c r="M14" s="215"/>
    </row>
    <row r="15" spans="2:13" ht="49.5" customHeight="1" x14ac:dyDescent="0.2">
      <c r="B15" s="223"/>
      <c r="C15" s="434" t="s">
        <v>58</v>
      </c>
      <c r="D15" s="246" t="s">
        <v>59</v>
      </c>
      <c r="E15" s="352" t="s">
        <v>60</v>
      </c>
      <c r="F15" s="432" t="s">
        <v>61</v>
      </c>
      <c r="G15" s="352" t="s">
        <v>62</v>
      </c>
      <c r="H15" s="247" t="s">
        <v>63</v>
      </c>
      <c r="I15" s="223"/>
      <c r="J15" s="98"/>
      <c r="K15" s="436"/>
      <c r="L15" s="436"/>
      <c r="M15" s="215"/>
    </row>
    <row r="16" spans="2:13" ht="36.6" customHeight="1" thickBot="1" x14ac:dyDescent="0.25">
      <c r="B16" s="223"/>
      <c r="C16" s="435"/>
      <c r="D16" s="353">
        <f>H8</f>
        <v>0</v>
      </c>
      <c r="E16" s="353" t="str">
        <f>$H$10 &amp; "
" &amp;  $I$10</f>
        <v xml:space="preserve">
</v>
      </c>
      <c r="F16" s="433"/>
      <c r="G16" s="353" t="str">
        <f>$H$10 &amp; "
" &amp;  $I$10</f>
        <v xml:space="preserve">
</v>
      </c>
      <c r="H16" s="248" t="e">
        <f>INDEX('Niveau fenêtre'!$S$6:$U$6,1,MATCH('2 - Description of the work'!$H$10,'Niveau fenêtre'!$S$3:$U$3,0))</f>
        <v>#N/A</v>
      </c>
      <c r="I16" s="98"/>
      <c r="J16" s="98"/>
      <c r="K16" s="436"/>
      <c r="L16" s="436"/>
      <c r="M16" s="215"/>
    </row>
    <row r="17" spans="2:13" ht="33.6" customHeight="1" x14ac:dyDescent="0.2">
      <c r="B17" s="223"/>
      <c r="C17" s="249">
        <v>1</v>
      </c>
      <c r="D17" s="237"/>
      <c r="E17" s="238"/>
      <c r="F17" s="179"/>
      <c r="G17" s="250">
        <f>'Niveau fenêtre'!P10</f>
        <v>0</v>
      </c>
      <c r="H17" s="251" t="str">
        <f>IF('Niveau fenêtre'!F10 = 1,"Yes","No")</f>
        <v>No</v>
      </c>
      <c r="I17" s="98"/>
      <c r="J17" s="223"/>
      <c r="K17" s="252"/>
      <c r="L17" s="223"/>
      <c r="M17" s="215"/>
    </row>
    <row r="18" spans="2:13" ht="33.6" customHeight="1" x14ac:dyDescent="0.2">
      <c r="B18" s="223"/>
      <c r="C18" s="253">
        <v>2</v>
      </c>
      <c r="D18" s="239"/>
      <c r="E18" s="240"/>
      <c r="F18" s="180"/>
      <c r="G18" s="254">
        <f>'Niveau fenêtre'!P11</f>
        <v>0</v>
      </c>
      <c r="H18" s="255" t="str">
        <f>IF('Niveau fenêtre'!F11 = 1,"Yes","No")</f>
        <v>No</v>
      </c>
      <c r="I18" s="98"/>
      <c r="J18" s="223"/>
      <c r="K18" s="223"/>
      <c r="L18" s="223"/>
      <c r="M18" s="215"/>
    </row>
    <row r="19" spans="2:13" ht="33.6" customHeight="1" x14ac:dyDescent="0.2">
      <c r="B19" s="223"/>
      <c r="C19" s="253">
        <v>3</v>
      </c>
      <c r="D19" s="239"/>
      <c r="E19" s="240"/>
      <c r="F19" s="180"/>
      <c r="G19" s="254">
        <f>'Niveau fenêtre'!P12</f>
        <v>0</v>
      </c>
      <c r="H19" s="255" t="str">
        <f>IF('Niveau fenêtre'!F12 = 1,"Yes","No")</f>
        <v>No</v>
      </c>
      <c r="I19" s="98"/>
      <c r="J19" s="223"/>
      <c r="K19" s="223"/>
      <c r="L19" s="223"/>
      <c r="M19" s="215"/>
    </row>
    <row r="20" spans="2:13" ht="33.6" customHeight="1" thickBot="1" x14ac:dyDescent="0.25">
      <c r="B20" s="223"/>
      <c r="C20" s="256">
        <v>4</v>
      </c>
      <c r="D20" s="241"/>
      <c r="E20" s="242"/>
      <c r="F20" s="182"/>
      <c r="G20" s="257">
        <f>'Niveau fenêtre'!P13</f>
        <v>0</v>
      </c>
      <c r="H20" s="258" t="str">
        <f>IF('Niveau fenêtre'!F13 = 1,"Yes","No")</f>
        <v>No</v>
      </c>
      <c r="I20" s="98"/>
      <c r="J20" s="223"/>
      <c r="K20" s="223"/>
      <c r="L20" s="223"/>
      <c r="M20" s="215"/>
    </row>
    <row r="21" spans="2:13" ht="6.95" customHeight="1" x14ac:dyDescent="0.2">
      <c r="B21" s="223"/>
      <c r="C21" s="223"/>
      <c r="D21" s="223"/>
      <c r="E21" s="223"/>
      <c r="F21" s="223"/>
      <c r="G21" s="223"/>
      <c r="H21" s="223"/>
      <c r="I21" s="223"/>
      <c r="J21" s="223"/>
      <c r="K21" s="223"/>
      <c r="L21" s="98"/>
      <c r="M21" s="215"/>
    </row>
    <row r="22" spans="2:13" x14ac:dyDescent="0.2">
      <c r="B22" s="223"/>
      <c r="C22" s="221" t="s">
        <v>64</v>
      </c>
      <c r="D22" s="223"/>
      <c r="E22" s="223"/>
      <c r="F22" s="223"/>
      <c r="G22" s="223"/>
      <c r="H22" s="223"/>
      <c r="I22" s="223"/>
      <c r="J22" s="223"/>
      <c r="K22" s="223"/>
      <c r="L22" s="98"/>
      <c r="M22" s="215"/>
    </row>
    <row r="23" spans="2:13" x14ac:dyDescent="0.2">
      <c r="B23" s="223"/>
      <c r="C23" s="221" t="s">
        <v>65</v>
      </c>
      <c r="D23" s="223"/>
      <c r="E23" s="223"/>
      <c r="F23" s="223"/>
      <c r="G23" s="223"/>
      <c r="H23" s="223"/>
      <c r="I23" s="223"/>
      <c r="J23" s="223"/>
      <c r="K23" s="223"/>
      <c r="L23" s="98"/>
      <c r="M23" s="215"/>
    </row>
    <row r="24" spans="2:13" ht="14.45" customHeight="1" x14ac:dyDescent="0.2">
      <c r="B24" s="223"/>
      <c r="C24" s="259"/>
      <c r="D24" s="223"/>
      <c r="E24" s="223"/>
      <c r="F24" s="223"/>
      <c r="G24" s="223"/>
      <c r="H24" s="223"/>
      <c r="I24" s="223"/>
      <c r="J24" s="223"/>
      <c r="K24" s="223"/>
      <c r="L24" s="98"/>
      <c r="M24" s="215"/>
    </row>
    <row r="25" spans="2:13" ht="15" customHeight="1" x14ac:dyDescent="0.2">
      <c r="B25" s="223"/>
      <c r="C25" s="260" t="s">
        <v>66</v>
      </c>
      <c r="D25" s="348"/>
      <c r="E25" s="348"/>
      <c r="F25" s="348"/>
      <c r="G25" s="348"/>
      <c r="H25" s="348"/>
      <c r="I25" s="348"/>
      <c r="J25" s="348"/>
      <c r="K25" s="223"/>
      <c r="L25" s="98"/>
      <c r="M25" s="215"/>
    </row>
    <row r="26" spans="2:13" ht="15" customHeight="1" x14ac:dyDescent="0.2">
      <c r="B26" s="223"/>
      <c r="C26" s="221" t="s">
        <v>67</v>
      </c>
      <c r="D26" s="348"/>
      <c r="E26" s="348"/>
      <c r="F26" s="348"/>
      <c r="G26" s="348"/>
      <c r="H26" s="348"/>
      <c r="I26" s="348"/>
      <c r="J26" s="348"/>
      <c r="K26" s="223"/>
      <c r="L26" s="98"/>
      <c r="M26" s="215"/>
    </row>
    <row r="27" spans="2:13" ht="6" customHeight="1" x14ac:dyDescent="0.2">
      <c r="B27" s="223"/>
      <c r="C27" s="348"/>
      <c r="D27" s="223"/>
      <c r="E27" s="223"/>
      <c r="F27" s="223"/>
      <c r="G27" s="223"/>
      <c r="H27" s="223"/>
      <c r="I27" s="223"/>
      <c r="J27" s="223"/>
      <c r="K27" s="223"/>
      <c r="L27" s="98"/>
      <c r="M27" s="215"/>
    </row>
    <row r="28" spans="2:13" ht="21.95" customHeight="1" x14ac:dyDescent="0.2">
      <c r="B28" s="223"/>
      <c r="C28" s="105" t="s">
        <v>68</v>
      </c>
      <c r="D28" s="223"/>
      <c r="E28" s="223"/>
      <c r="F28" s="223"/>
      <c r="G28" s="223"/>
      <c r="H28" s="223"/>
      <c r="I28" s="223"/>
      <c r="J28" s="223"/>
      <c r="K28" s="223"/>
      <c r="L28" s="98"/>
      <c r="M28" s="215"/>
    </row>
    <row r="29" spans="2:13" ht="20.45" customHeight="1" x14ac:dyDescent="0.2">
      <c r="B29" s="223"/>
      <c r="C29" s="434" t="s">
        <v>69</v>
      </c>
      <c r="D29" s="246" t="s">
        <v>70</v>
      </c>
      <c r="E29" s="246"/>
      <c r="F29" s="246"/>
      <c r="G29" s="246"/>
      <c r="H29" s="246"/>
      <c r="I29" s="246"/>
      <c r="J29" s="261" t="s">
        <v>71</v>
      </c>
      <c r="K29" s="98"/>
      <c r="L29" s="98"/>
      <c r="M29" s="215"/>
    </row>
    <row r="30" spans="2:13" ht="50.1" customHeight="1" thickBot="1" x14ac:dyDescent="0.25">
      <c r="B30" s="223"/>
      <c r="C30" s="435"/>
      <c r="D30" s="353" t="s">
        <v>72</v>
      </c>
      <c r="E30" s="353" t="s">
        <v>73</v>
      </c>
      <c r="F30" s="353" t="s">
        <v>74</v>
      </c>
      <c r="G30" s="353" t="s">
        <v>75</v>
      </c>
      <c r="H30" s="353" t="s">
        <v>76</v>
      </c>
      <c r="I30" s="353" t="s">
        <v>77</v>
      </c>
      <c r="J30" s="248" t="str">
        <f>$H$10 &amp; "
" &amp;  $I$10</f>
        <v xml:space="preserve">
</v>
      </c>
      <c r="K30" s="98"/>
      <c r="L30" s="98"/>
      <c r="M30" s="215"/>
    </row>
    <row r="31" spans="2:13" ht="30" customHeight="1" x14ac:dyDescent="0.2">
      <c r="B31" s="223"/>
      <c r="C31" s="249">
        <v>1</v>
      </c>
      <c r="D31" s="184"/>
      <c r="E31" s="178"/>
      <c r="F31" s="178"/>
      <c r="G31" s="185"/>
      <c r="H31" s="178"/>
      <c r="I31" s="186"/>
      <c r="J31" s="262" t="str">
        <f>IF('Niveau fenêtre'!O10&gt;0,'Niveau fenêtre'!O10,"")</f>
        <v/>
      </c>
      <c r="K31" s="98"/>
      <c r="L31" s="98"/>
      <c r="M31" s="215"/>
    </row>
    <row r="32" spans="2:13" ht="31.5" customHeight="1" x14ac:dyDescent="0.2">
      <c r="B32" s="223"/>
      <c r="C32" s="253">
        <v>2</v>
      </c>
      <c r="D32" s="187"/>
      <c r="E32" s="177"/>
      <c r="F32" s="177"/>
      <c r="G32" s="183"/>
      <c r="H32" s="177"/>
      <c r="I32" s="243"/>
      <c r="J32" s="263" t="str">
        <f>IF('Niveau fenêtre'!O11&gt;0,'Niveau fenêtre'!O11,"")</f>
        <v/>
      </c>
      <c r="K32" s="98"/>
      <c r="L32" s="98"/>
      <c r="M32" s="215"/>
    </row>
    <row r="33" spans="2:19" ht="31.5" customHeight="1" x14ac:dyDescent="0.2">
      <c r="B33" s="223"/>
      <c r="C33" s="253">
        <v>3</v>
      </c>
      <c r="D33" s="187"/>
      <c r="E33" s="177"/>
      <c r="F33" s="177"/>
      <c r="G33" s="183"/>
      <c r="H33" s="177"/>
      <c r="I33" s="188"/>
      <c r="J33" s="263" t="str">
        <f>IF('Niveau fenêtre'!O12&gt;0,'Niveau fenêtre'!O12,"")</f>
        <v/>
      </c>
      <c r="K33" s="98"/>
      <c r="L33" s="98"/>
      <c r="M33" s="215"/>
    </row>
    <row r="34" spans="2:19" ht="31.5" customHeight="1" thickBot="1" x14ac:dyDescent="0.25">
      <c r="B34" s="223"/>
      <c r="C34" s="256">
        <v>4</v>
      </c>
      <c r="D34" s="189"/>
      <c r="E34" s="181"/>
      <c r="F34" s="181"/>
      <c r="G34" s="190"/>
      <c r="H34" s="181"/>
      <c r="I34" s="191"/>
      <c r="J34" s="264" t="str">
        <f>IF('Niveau fenêtre'!O13&gt;0,'Niveau fenêtre'!O13,"")</f>
        <v/>
      </c>
      <c r="K34" s="98"/>
      <c r="L34" s="223"/>
      <c r="M34" s="215"/>
    </row>
    <row r="35" spans="2:19" ht="6.6" customHeight="1" x14ac:dyDescent="0.25">
      <c r="B35" s="208"/>
      <c r="C35" s="351"/>
      <c r="D35" s="351"/>
      <c r="E35" s="351"/>
      <c r="F35" s="351"/>
      <c r="G35" s="351"/>
      <c r="H35" s="351"/>
      <c r="I35" s="351"/>
      <c r="J35" s="351"/>
      <c r="K35" s="351"/>
      <c r="L35" s="351"/>
      <c r="M35" s="208"/>
      <c r="P35" s="26"/>
      <c r="Q35" s="26"/>
      <c r="R35" s="26"/>
      <c r="S35" s="26"/>
    </row>
    <row r="36" spans="2:19" x14ac:dyDescent="0.2">
      <c r="B36" s="30"/>
      <c r="C36" s="29"/>
      <c r="D36" s="29"/>
      <c r="E36" s="29"/>
      <c r="F36" s="29"/>
      <c r="G36" s="29"/>
      <c r="H36" s="29"/>
      <c r="I36" s="29"/>
      <c r="J36" s="29"/>
      <c r="K36" s="29"/>
      <c r="L36" s="29"/>
    </row>
    <row r="37" spans="2:19" x14ac:dyDescent="0.2">
      <c r="B37" s="209"/>
      <c r="C37" s="210" t="s">
        <v>78</v>
      </c>
      <c r="D37" s="209"/>
      <c r="E37" s="209"/>
      <c r="F37" s="209"/>
      <c r="G37" s="209"/>
      <c r="H37" s="209"/>
      <c r="I37" s="209"/>
      <c r="J37" s="209"/>
      <c r="K37" s="209"/>
      <c r="L37" s="209"/>
      <c r="M37" s="209"/>
    </row>
    <row r="38" spans="2:19" ht="6.95" customHeight="1" thickBot="1" x14ac:dyDescent="0.25">
      <c r="B38" s="223"/>
      <c r="C38" s="223"/>
      <c r="D38" s="223"/>
      <c r="E38" s="221"/>
      <c r="F38" s="223"/>
      <c r="G38" s="349"/>
      <c r="H38" s="223"/>
      <c r="I38" s="221"/>
      <c r="J38" s="223"/>
      <c r="K38" s="223"/>
      <c r="L38" s="223"/>
      <c r="M38" s="215"/>
    </row>
    <row r="39" spans="2:19" ht="14.45" customHeight="1" thickBot="1" x14ac:dyDescent="0.25">
      <c r="B39" s="223"/>
      <c r="C39" s="348" t="s">
        <v>79</v>
      </c>
      <c r="D39" s="348"/>
      <c r="E39" s="348"/>
      <c r="F39" s="348"/>
      <c r="G39" s="349"/>
      <c r="H39" s="457"/>
      <c r="I39" s="458"/>
      <c r="J39" s="172"/>
      <c r="K39" s="104"/>
      <c r="L39" s="104"/>
      <c r="M39" s="215"/>
    </row>
    <row r="40" spans="2:19" ht="6.95" customHeight="1" thickBot="1" x14ac:dyDescent="0.25">
      <c r="B40" s="223"/>
      <c r="C40" s="223"/>
      <c r="D40" s="223"/>
      <c r="E40" s="221"/>
      <c r="F40" s="223"/>
      <c r="G40" s="349"/>
      <c r="H40" s="221"/>
      <c r="I40" s="221"/>
      <c r="J40" s="223"/>
      <c r="K40" s="223"/>
      <c r="L40" s="223"/>
      <c r="M40" s="215"/>
    </row>
    <row r="41" spans="2:19" ht="15" customHeight="1" thickBot="1" x14ac:dyDescent="0.25">
      <c r="B41" s="223"/>
      <c r="C41" s="348" t="s">
        <v>560</v>
      </c>
      <c r="D41" s="223"/>
      <c r="E41" s="221"/>
      <c r="F41" s="223"/>
      <c r="G41" s="349"/>
      <c r="H41" s="457"/>
      <c r="I41" s="458"/>
      <c r="J41" s="223"/>
      <c r="K41" s="223"/>
      <c r="L41" s="223"/>
      <c r="M41" s="215"/>
    </row>
    <row r="42" spans="2:19" ht="6.75" customHeight="1" thickBot="1" x14ac:dyDescent="0.25">
      <c r="B42" s="223"/>
      <c r="C42" s="348"/>
      <c r="D42" s="223"/>
      <c r="E42" s="221"/>
      <c r="F42" s="223"/>
      <c r="G42" s="349"/>
      <c r="H42" s="221"/>
      <c r="I42" s="221"/>
      <c r="J42" s="223"/>
      <c r="K42" s="223"/>
      <c r="L42" s="223"/>
      <c r="M42" s="215"/>
    </row>
    <row r="43" spans="2:19" ht="14.45" customHeight="1" thickBot="1" x14ac:dyDescent="0.25">
      <c r="B43" s="223"/>
      <c r="C43" s="348" t="s">
        <v>80</v>
      </c>
      <c r="D43" s="223"/>
      <c r="E43" s="221"/>
      <c r="F43" s="223"/>
      <c r="G43" s="349"/>
      <c r="H43" s="437"/>
      <c r="I43" s="438"/>
      <c r="J43" s="245" t="str">
        <f>IFERROR(VLOOKUP(H43,Contrôle!$AD$3:$AF$4,3,FALSE),"")</f>
        <v/>
      </c>
      <c r="K43" s="348" t="str">
        <f>IF(H43 = "R", "imperial", "international unit")</f>
        <v>international unit</v>
      </c>
      <c r="L43" s="223"/>
      <c r="M43" s="215"/>
    </row>
    <row r="44" spans="2:19" ht="14.45" customHeight="1" x14ac:dyDescent="0.2">
      <c r="B44" s="223"/>
      <c r="C44" s="348" t="s">
        <v>81</v>
      </c>
      <c r="D44" s="223"/>
      <c r="E44" s="221"/>
      <c r="F44" s="223"/>
      <c r="G44" s="349"/>
      <c r="H44" s="221"/>
      <c r="I44" s="221"/>
      <c r="J44" s="265"/>
      <c r="K44" s="223"/>
      <c r="L44" s="223"/>
      <c r="M44" s="215"/>
    </row>
    <row r="45" spans="2:19" ht="6.95" customHeight="1" thickBot="1" x14ac:dyDescent="0.25">
      <c r="B45" s="223"/>
      <c r="C45" s="348"/>
      <c r="D45" s="223"/>
      <c r="E45" s="221"/>
      <c r="F45" s="223"/>
      <c r="G45" s="223"/>
      <c r="H45" s="221"/>
      <c r="I45" s="221"/>
      <c r="J45" s="265"/>
      <c r="K45" s="223"/>
      <c r="L45" s="223"/>
      <c r="M45" s="215"/>
    </row>
    <row r="46" spans="2:19" ht="14.45" customHeight="1" thickBot="1" x14ac:dyDescent="0.25">
      <c r="B46" s="223"/>
      <c r="C46" s="348" t="str">
        <f>"Please indicate " &amp; H43  &amp; " value :"</f>
        <v>Please indicate  value :</v>
      </c>
      <c r="D46" s="223"/>
      <c r="E46" s="252" t="s">
        <v>571</v>
      </c>
      <c r="F46" s="252"/>
      <c r="G46" s="223"/>
      <c r="H46" s="443"/>
      <c r="I46" s="444"/>
      <c r="J46" s="227" t="str">
        <f>J43</f>
        <v/>
      </c>
      <c r="K46" s="221" t="str">
        <f>K43</f>
        <v>international unit</v>
      </c>
      <c r="L46" s="223"/>
      <c r="M46" s="215"/>
      <c r="O46" s="385" t="s">
        <v>567</v>
      </c>
      <c r="P46" s="378"/>
    </row>
    <row r="47" spans="2:19" ht="6.75" customHeight="1" x14ac:dyDescent="0.2">
      <c r="B47" s="223"/>
      <c r="C47" s="348"/>
      <c r="D47" s="223"/>
      <c r="E47" s="221"/>
      <c r="F47" s="223"/>
      <c r="G47" s="223"/>
      <c r="H47" s="221"/>
      <c r="I47" s="221"/>
      <c r="J47" s="265"/>
      <c r="K47" s="223"/>
      <c r="L47" s="223"/>
      <c r="M47" s="215"/>
      <c r="O47" s="462" t="str" cm="1">
        <f t="array" ref="O47">_xlfn.IFS(H41="","",H41&lt;1983,"La date de la dernière rénovation du toit date d'avant 1983.",H41&gt;1983,"La date de la dernière rénovation du toit date d'après 1983.",H41=1983,"La date de la dernière rénovation du toit date de 1983.")</f>
        <v/>
      </c>
      <c r="P47" s="377"/>
    </row>
    <row r="48" spans="2:19" ht="14.45" customHeight="1" x14ac:dyDescent="0.2">
      <c r="B48" s="223"/>
      <c r="C48" s="348"/>
      <c r="D48" s="223"/>
      <c r="E48" s="252" t="s">
        <v>566</v>
      </c>
      <c r="F48" s="252"/>
      <c r="G48" s="223"/>
      <c r="H48" s="439" t="str" cm="1">
        <f t="array" ref="H48">_xlfn.IFS(H43="","",H43="RSI",'Niveau toit'!$R$19,'2 - Description of the work'!H43="R",'Niveau toit'!Q19)</f>
        <v/>
      </c>
      <c r="I48" s="440"/>
      <c r="J48" s="227" t="str">
        <f>J43</f>
        <v/>
      </c>
      <c r="K48" s="221" t="str">
        <f>K43</f>
        <v>international unit</v>
      </c>
      <c r="L48" s="223"/>
      <c r="M48" s="215"/>
      <c r="O48" s="462"/>
      <c r="P48" s="377"/>
    </row>
    <row r="49" spans="2:15" ht="14.45" customHeight="1" thickBot="1" x14ac:dyDescent="0.25">
      <c r="B49" s="223"/>
      <c r="C49" s="223"/>
      <c r="D49" s="223"/>
      <c r="E49" s="221"/>
      <c r="F49" s="223"/>
      <c r="G49" s="349"/>
      <c r="H49" s="223"/>
      <c r="I49" s="221"/>
      <c r="J49" s="223"/>
      <c r="K49" s="223"/>
      <c r="L49" s="223"/>
      <c r="M49" s="215"/>
      <c r="O49" s="386"/>
    </row>
    <row r="50" spans="2:15" ht="14.25" customHeight="1" thickBot="1" x14ac:dyDescent="0.25">
      <c r="B50" s="223"/>
      <c r="C50" s="348" t="s">
        <v>82</v>
      </c>
      <c r="D50" s="348"/>
      <c r="E50" s="348"/>
      <c r="F50" s="459"/>
      <c r="G50" s="460"/>
      <c r="H50" s="460"/>
      <c r="I50" s="460"/>
      <c r="J50" s="460"/>
      <c r="K50" s="460"/>
      <c r="L50" s="461"/>
      <c r="M50" s="215"/>
      <c r="O50" s="386"/>
    </row>
    <row r="51" spans="2:15" ht="15" customHeight="1" x14ac:dyDescent="0.2">
      <c r="B51" s="223"/>
      <c r="C51" s="221"/>
      <c r="D51" s="221"/>
      <c r="E51" s="221"/>
      <c r="F51" s="221"/>
      <c r="G51" s="221"/>
      <c r="H51" s="221"/>
      <c r="I51" s="221"/>
      <c r="J51" s="221"/>
      <c r="K51" s="221"/>
      <c r="L51" s="221"/>
      <c r="M51" s="215"/>
      <c r="O51" s="386"/>
    </row>
    <row r="52" spans="2:15" ht="24.95" customHeight="1" x14ac:dyDescent="0.2">
      <c r="B52" s="223"/>
      <c r="C52" s="441" t="s">
        <v>83</v>
      </c>
      <c r="D52" s="441"/>
      <c r="E52" s="441"/>
      <c r="F52" s="441"/>
      <c r="G52" s="442"/>
      <c r="H52" s="439" t="str">
        <f>IF('Niveau toit'!G10 = 1,"Yes","No")</f>
        <v>No</v>
      </c>
      <c r="I52" s="440"/>
      <c r="J52" s="221"/>
      <c r="K52" s="221"/>
      <c r="L52" s="221"/>
      <c r="M52" s="215"/>
      <c r="O52" s="386"/>
    </row>
    <row r="53" spans="2:15" ht="6.75" customHeight="1" x14ac:dyDescent="0.2">
      <c r="B53" s="223"/>
      <c r="C53" s="365"/>
      <c r="D53" s="365"/>
      <c r="E53" s="365"/>
      <c r="F53" s="365"/>
      <c r="G53" s="365"/>
      <c r="H53" s="365"/>
      <c r="I53" s="365"/>
      <c r="J53" s="221"/>
      <c r="K53" s="221"/>
      <c r="L53" s="221"/>
      <c r="M53" s="215"/>
      <c r="O53" s="386"/>
    </row>
    <row r="54" spans="2:15" ht="15" customHeight="1" x14ac:dyDescent="0.2">
      <c r="B54" s="223"/>
      <c r="C54" s="226" t="s">
        <v>573</v>
      </c>
      <c r="D54" s="365"/>
      <c r="E54" s="365"/>
      <c r="F54" s="365"/>
      <c r="G54" s="365"/>
      <c r="H54" s="365"/>
      <c r="I54" s="365"/>
      <c r="J54" s="221"/>
      <c r="K54" s="221"/>
      <c r="L54" s="221"/>
      <c r="M54" s="215"/>
      <c r="O54" s="386"/>
    </row>
    <row r="55" spans="2:15" ht="6.75" customHeight="1" x14ac:dyDescent="0.2">
      <c r="B55" s="223"/>
      <c r="C55" s="221"/>
      <c r="D55" s="221"/>
      <c r="E55" s="221"/>
      <c r="F55" s="221"/>
      <c r="G55" s="221"/>
      <c r="H55" s="221"/>
      <c r="I55" s="221"/>
      <c r="J55" s="221"/>
      <c r="K55" s="221"/>
      <c r="L55" s="221"/>
      <c r="M55" s="215"/>
    </row>
    <row r="56" spans="2:15" ht="15" customHeight="1" x14ac:dyDescent="0.2">
      <c r="B56" s="223"/>
      <c r="C56" s="456" t="s">
        <v>84</v>
      </c>
      <c r="D56" s="456"/>
      <c r="E56" s="456"/>
      <c r="F56" s="456"/>
      <c r="G56" s="456"/>
      <c r="H56" s="456"/>
      <c r="I56" s="456"/>
      <c r="J56" s="456"/>
      <c r="K56" s="456"/>
      <c r="L56" s="221"/>
      <c r="M56" s="215"/>
    </row>
    <row r="57" spans="2:15" ht="6.6" customHeight="1" thickBot="1" x14ac:dyDescent="0.25">
      <c r="B57" s="223"/>
      <c r="C57" s="223"/>
      <c r="D57" s="223"/>
      <c r="E57" s="221"/>
      <c r="F57" s="223"/>
      <c r="G57" s="349"/>
      <c r="H57" s="223"/>
      <c r="I57" s="221"/>
      <c r="J57" s="223"/>
      <c r="K57" s="223"/>
      <c r="L57" s="221"/>
      <c r="M57" s="215"/>
    </row>
    <row r="58" spans="2:15" ht="15" customHeight="1" thickBot="1" x14ac:dyDescent="0.25">
      <c r="B58" s="223"/>
      <c r="C58" s="267" t="s">
        <v>85</v>
      </c>
      <c r="D58" s="268"/>
      <c r="E58" s="268"/>
      <c r="F58" s="269"/>
      <c r="G58" s="221"/>
      <c r="H58" s="267" t="s">
        <v>86</v>
      </c>
      <c r="I58" s="268"/>
      <c r="J58" s="268"/>
      <c r="K58" s="269"/>
      <c r="L58" s="221"/>
      <c r="M58" s="215"/>
    </row>
    <row r="59" spans="2:15" ht="15" customHeight="1" x14ac:dyDescent="0.2">
      <c r="B59" s="223"/>
      <c r="C59" s="445"/>
      <c r="D59" s="446"/>
      <c r="E59" s="446"/>
      <c r="F59" s="447"/>
      <c r="G59" s="221"/>
      <c r="H59" s="445"/>
      <c r="I59" s="446"/>
      <c r="J59" s="446"/>
      <c r="K59" s="447"/>
      <c r="L59" s="221"/>
      <c r="M59" s="215"/>
    </row>
    <row r="60" spans="2:15" ht="15" customHeight="1" x14ac:dyDescent="0.2">
      <c r="B60" s="223"/>
      <c r="C60" s="448"/>
      <c r="D60" s="449"/>
      <c r="E60" s="449"/>
      <c r="F60" s="450"/>
      <c r="G60" s="221"/>
      <c r="H60" s="448"/>
      <c r="I60" s="449"/>
      <c r="J60" s="449"/>
      <c r="K60" s="450"/>
      <c r="L60" s="221"/>
      <c r="M60" s="215"/>
    </row>
    <row r="61" spans="2:15" ht="15" customHeight="1" x14ac:dyDescent="0.2">
      <c r="B61" s="223"/>
      <c r="C61" s="448"/>
      <c r="D61" s="449"/>
      <c r="E61" s="449"/>
      <c r="F61" s="450"/>
      <c r="G61" s="221"/>
      <c r="H61" s="448"/>
      <c r="I61" s="449"/>
      <c r="J61" s="449"/>
      <c r="K61" s="450"/>
      <c r="L61" s="221"/>
      <c r="M61" s="215"/>
    </row>
    <row r="62" spans="2:15" ht="15" customHeight="1" x14ac:dyDescent="0.2">
      <c r="B62" s="223"/>
      <c r="C62" s="448"/>
      <c r="D62" s="449"/>
      <c r="E62" s="449"/>
      <c r="F62" s="450"/>
      <c r="G62" s="221"/>
      <c r="H62" s="448"/>
      <c r="I62" s="449"/>
      <c r="J62" s="449"/>
      <c r="K62" s="450"/>
      <c r="L62" s="221"/>
      <c r="M62" s="215"/>
    </row>
    <row r="63" spans="2:15" ht="15" customHeight="1" x14ac:dyDescent="0.2">
      <c r="B63" s="223"/>
      <c r="C63" s="448"/>
      <c r="D63" s="449"/>
      <c r="E63" s="449"/>
      <c r="F63" s="450"/>
      <c r="G63" s="221"/>
      <c r="H63" s="448"/>
      <c r="I63" s="449"/>
      <c r="J63" s="449"/>
      <c r="K63" s="450"/>
      <c r="L63" s="221"/>
      <c r="M63" s="215"/>
    </row>
    <row r="64" spans="2:15" ht="15" customHeight="1" thickBot="1" x14ac:dyDescent="0.25">
      <c r="B64" s="223"/>
      <c r="C64" s="451"/>
      <c r="D64" s="452"/>
      <c r="E64" s="452"/>
      <c r="F64" s="453"/>
      <c r="G64" s="221"/>
      <c r="H64" s="451"/>
      <c r="I64" s="452"/>
      <c r="J64" s="452"/>
      <c r="K64" s="453"/>
      <c r="L64" s="221"/>
      <c r="M64" s="215"/>
    </row>
    <row r="65" spans="2:13" ht="29.25" customHeight="1" x14ac:dyDescent="0.2">
      <c r="B65" s="223"/>
      <c r="C65" s="463" t="s">
        <v>87</v>
      </c>
      <c r="D65" s="463"/>
      <c r="E65" s="463"/>
      <c r="F65" s="463"/>
      <c r="G65" s="463"/>
      <c r="H65" s="463"/>
      <c r="I65" s="463"/>
      <c r="J65" s="463"/>
      <c r="K65" s="463"/>
      <c r="L65" s="221"/>
      <c r="M65" s="215"/>
    </row>
    <row r="66" spans="2:13" ht="15" customHeight="1" x14ac:dyDescent="0.2">
      <c r="B66" s="223"/>
      <c r="C66" s="221"/>
      <c r="D66" s="221"/>
      <c r="E66" s="221"/>
      <c r="F66" s="221"/>
      <c r="G66" s="221"/>
      <c r="H66" s="221"/>
      <c r="I66" s="221"/>
      <c r="J66" s="221"/>
      <c r="K66" s="221"/>
      <c r="L66" s="221"/>
      <c r="M66" s="215"/>
    </row>
    <row r="67" spans="2:13" ht="15" customHeight="1" x14ac:dyDescent="0.2">
      <c r="B67" s="223"/>
      <c r="C67" s="221" t="s">
        <v>88</v>
      </c>
      <c r="D67" s="221"/>
      <c r="E67" s="221"/>
      <c r="F67" s="221"/>
      <c r="G67" s="221"/>
      <c r="H67" s="221"/>
      <c r="I67" s="221"/>
      <c r="J67" s="221"/>
      <c r="K67" s="221"/>
      <c r="L67" s="221"/>
      <c r="M67" s="215"/>
    </row>
    <row r="68" spans="2:13" ht="15" customHeight="1" x14ac:dyDescent="0.2">
      <c r="B68" s="223"/>
      <c r="C68" s="221" t="str">
        <f>'Niveau toit'!P10 &amp; 'Niveau toit'!Q10</f>
        <v xml:space="preserve"> - Type I (Roof with attic) - RSI 8,33</v>
      </c>
      <c r="D68" s="221"/>
      <c r="E68" s="221"/>
      <c r="F68" s="221"/>
      <c r="G68" s="221"/>
      <c r="H68" s="221"/>
      <c r="I68" s="221"/>
      <c r="J68" s="221"/>
      <c r="K68" s="221"/>
      <c r="L68" s="221"/>
      <c r="M68" s="215"/>
    </row>
    <row r="69" spans="2:13" ht="15" customHeight="1" x14ac:dyDescent="0.2">
      <c r="B69" s="223"/>
      <c r="C69" s="221" t="str">
        <f>'Niveau toit'!P11 &amp; 'Niveau toit'!Q11</f>
        <v xml:space="preserve"> - Type II (Roof with beams and parallel chord trusses) - RSI 4,35</v>
      </c>
      <c r="D69" s="221"/>
      <c r="E69" s="221"/>
      <c r="F69" s="221"/>
      <c r="G69" s="221"/>
      <c r="H69" s="221"/>
      <c r="I69" s="221"/>
      <c r="J69" s="221"/>
      <c r="K69" s="221"/>
      <c r="L69" s="221"/>
      <c r="M69" s="215"/>
    </row>
    <row r="70" spans="2:13" x14ac:dyDescent="0.2">
      <c r="B70" s="223"/>
      <c r="C70" s="221" t="str">
        <f>'Niveau toit'!P12 &amp; 'Niveau toit'!Q12</f>
        <v xml:space="preserve"> - Type III (Flat roof with concrete slab or steel planks) - RSI 3,45</v>
      </c>
      <c r="D70" s="221"/>
      <c r="E70" s="221"/>
      <c r="F70" s="221"/>
      <c r="G70" s="221"/>
      <c r="H70" s="221"/>
      <c r="I70" s="221"/>
      <c r="J70" s="221"/>
      <c r="K70" s="221"/>
      <c r="L70" s="221"/>
      <c r="M70" s="215"/>
    </row>
    <row r="71" spans="2:13" x14ac:dyDescent="0.2">
      <c r="B71" s="223"/>
      <c r="C71" s="270"/>
      <c r="D71" s="221"/>
      <c r="E71" s="221"/>
      <c r="F71" s="221"/>
      <c r="G71" s="221"/>
      <c r="H71" s="221"/>
      <c r="I71" s="221"/>
      <c r="J71" s="221"/>
      <c r="K71" s="221"/>
      <c r="L71" s="221"/>
      <c r="M71" s="215"/>
    </row>
    <row r="72" spans="2:13" x14ac:dyDescent="0.2">
      <c r="B72" s="215"/>
      <c r="C72" s="271"/>
      <c r="D72" s="272"/>
      <c r="E72" s="272"/>
      <c r="F72" s="272"/>
      <c r="G72" s="272"/>
      <c r="H72" s="272"/>
      <c r="I72" s="272"/>
      <c r="J72" s="272"/>
      <c r="K72" s="272"/>
      <c r="L72" s="272"/>
      <c r="M72" s="215"/>
    </row>
    <row r="73" spans="2:13" x14ac:dyDescent="0.2">
      <c r="B73" s="215"/>
      <c r="C73" s="271"/>
      <c r="D73" s="272"/>
      <c r="E73" s="272"/>
      <c r="F73" s="272"/>
      <c r="G73" s="272"/>
      <c r="H73" s="272"/>
      <c r="I73" s="272"/>
      <c r="J73" s="272"/>
      <c r="K73" s="272"/>
      <c r="L73" s="272"/>
      <c r="M73" s="215"/>
    </row>
    <row r="74" spans="2:13" x14ac:dyDescent="0.2">
      <c r="B74" s="215"/>
      <c r="C74" s="271"/>
      <c r="D74" s="272"/>
      <c r="E74" s="272"/>
      <c r="F74" s="272"/>
      <c r="G74" s="272"/>
      <c r="H74" s="272"/>
      <c r="I74" s="272"/>
      <c r="J74" s="272"/>
      <c r="K74" s="272"/>
      <c r="L74" s="272"/>
      <c r="M74" s="215"/>
    </row>
    <row r="75" spans="2:13" x14ac:dyDescent="0.2">
      <c r="B75" s="215"/>
      <c r="C75" s="271"/>
      <c r="D75" s="272"/>
      <c r="E75" s="272"/>
      <c r="F75" s="272"/>
      <c r="G75" s="272"/>
      <c r="H75" s="272"/>
      <c r="I75" s="272"/>
      <c r="J75" s="272"/>
      <c r="K75" s="272"/>
      <c r="L75" s="272"/>
      <c r="M75" s="215"/>
    </row>
    <row r="76" spans="2:13" x14ac:dyDescent="0.2">
      <c r="B76" s="215"/>
      <c r="C76" s="271"/>
      <c r="D76" s="272"/>
      <c r="E76" s="272"/>
      <c r="F76" s="272"/>
      <c r="G76" s="272"/>
      <c r="H76" s="272"/>
      <c r="I76" s="272"/>
      <c r="J76" s="272"/>
      <c r="K76" s="272"/>
      <c r="L76" s="272"/>
      <c r="M76" s="215"/>
    </row>
    <row r="77" spans="2:13" x14ac:dyDescent="0.2">
      <c r="B77" s="215"/>
      <c r="C77" s="271"/>
      <c r="D77" s="272"/>
      <c r="E77" s="272"/>
      <c r="F77" s="272"/>
      <c r="G77" s="272"/>
      <c r="H77" s="272"/>
      <c r="I77" s="272"/>
      <c r="J77" s="272"/>
      <c r="K77" s="272"/>
      <c r="L77" s="272"/>
      <c r="M77" s="215"/>
    </row>
    <row r="78" spans="2:13" x14ac:dyDescent="0.2">
      <c r="B78" s="215"/>
      <c r="C78" s="271"/>
      <c r="D78" s="272"/>
      <c r="E78" s="272"/>
      <c r="F78" s="272"/>
      <c r="G78" s="272"/>
      <c r="H78" s="272"/>
      <c r="I78" s="272"/>
      <c r="J78" s="272"/>
      <c r="K78" s="272"/>
      <c r="L78" s="272"/>
      <c r="M78" s="215"/>
    </row>
    <row r="79" spans="2:13" x14ac:dyDescent="0.2">
      <c r="B79" s="215"/>
      <c r="C79" s="271"/>
      <c r="D79" s="272"/>
      <c r="E79" s="272"/>
      <c r="F79" s="272"/>
      <c r="G79" s="272"/>
      <c r="H79" s="272"/>
      <c r="I79" s="272"/>
      <c r="J79" s="272"/>
      <c r="K79" s="272"/>
      <c r="L79" s="272"/>
      <c r="M79" s="215"/>
    </row>
    <row r="80" spans="2:13" x14ac:dyDescent="0.2">
      <c r="B80" s="215"/>
      <c r="C80" s="271"/>
      <c r="D80" s="272"/>
      <c r="E80" s="272"/>
      <c r="F80" s="272"/>
      <c r="G80" s="272"/>
      <c r="H80" s="272"/>
      <c r="I80" s="272"/>
      <c r="J80" s="272"/>
      <c r="K80" s="272"/>
      <c r="L80" s="272"/>
      <c r="M80" s="215"/>
    </row>
    <row r="81" spans="1:17" x14ac:dyDescent="0.2">
      <c r="B81" s="215"/>
      <c r="C81" s="271"/>
      <c r="D81" s="272"/>
      <c r="E81" s="272"/>
      <c r="F81" s="272"/>
      <c r="G81" s="272"/>
      <c r="H81" s="272"/>
      <c r="I81" s="272"/>
      <c r="J81" s="272"/>
      <c r="K81" s="272"/>
      <c r="L81" s="272"/>
      <c r="M81" s="215"/>
    </row>
    <row r="82" spans="1:17" x14ac:dyDescent="0.2">
      <c r="B82" s="215"/>
      <c r="C82" s="271"/>
      <c r="D82" s="272"/>
      <c r="E82" s="272"/>
      <c r="F82" s="272"/>
      <c r="G82" s="272"/>
      <c r="H82" s="272"/>
      <c r="I82" s="272"/>
      <c r="J82" s="272"/>
      <c r="K82" s="272"/>
      <c r="L82" s="272"/>
      <c r="M82" s="215"/>
    </row>
    <row r="83" spans="1:17" x14ac:dyDescent="0.2">
      <c r="B83" s="215"/>
      <c r="C83" s="271"/>
      <c r="D83" s="272"/>
      <c r="E83" s="272"/>
      <c r="F83" s="272"/>
      <c r="G83" s="272"/>
      <c r="H83" s="272"/>
      <c r="I83" s="272"/>
      <c r="J83" s="272"/>
      <c r="K83" s="272"/>
      <c r="L83" s="272"/>
      <c r="M83" s="215"/>
    </row>
    <row r="84" spans="1:17" x14ac:dyDescent="0.2">
      <c r="B84" s="215"/>
      <c r="C84" s="271"/>
      <c r="D84" s="272"/>
      <c r="E84" s="272"/>
      <c r="F84" s="272"/>
      <c r="G84" s="272"/>
      <c r="H84" s="272"/>
      <c r="I84" s="272"/>
      <c r="J84" s="272"/>
      <c r="K84" s="272"/>
      <c r="L84" s="272"/>
      <c r="M84" s="215"/>
    </row>
    <row r="85" spans="1:17" x14ac:dyDescent="0.2">
      <c r="B85" s="215"/>
      <c r="C85" s="271"/>
      <c r="D85" s="272"/>
      <c r="E85" s="272"/>
      <c r="F85" s="272"/>
      <c r="G85" s="272"/>
      <c r="H85" s="272"/>
      <c r="I85" s="272"/>
      <c r="J85" s="272"/>
      <c r="K85" s="272"/>
      <c r="L85" s="272"/>
      <c r="M85" s="215"/>
    </row>
    <row r="86" spans="1:17" x14ac:dyDescent="0.2">
      <c r="B86" s="215"/>
      <c r="C86" s="271"/>
      <c r="D86" s="272"/>
      <c r="E86" s="272"/>
      <c r="F86" s="272"/>
      <c r="G86" s="272"/>
      <c r="H86" s="272"/>
      <c r="I86" s="272"/>
      <c r="J86" s="272"/>
      <c r="K86" s="272"/>
      <c r="L86" s="272"/>
      <c r="M86" s="215"/>
    </row>
    <row r="87" spans="1:17" ht="15" x14ac:dyDescent="0.25">
      <c r="B87" s="208"/>
      <c r="C87" s="351"/>
      <c r="D87" s="351"/>
      <c r="E87" s="351"/>
      <c r="F87" s="351"/>
      <c r="G87" s="351"/>
      <c r="H87" s="351"/>
      <c r="I87" s="351"/>
      <c r="J87" s="351"/>
      <c r="K87" s="351"/>
      <c r="L87" s="351"/>
      <c r="M87" s="208"/>
      <c r="P87" s="26"/>
    </row>
    <row r="88" spans="1:17" ht="14.25" customHeight="1" x14ac:dyDescent="0.25">
      <c r="B88" s="26"/>
      <c r="C88" s="273"/>
      <c r="D88" s="273"/>
      <c r="E88" s="273"/>
      <c r="F88" s="273"/>
      <c r="G88" s="273"/>
      <c r="H88" s="273"/>
      <c r="I88" s="273"/>
      <c r="J88" s="273"/>
      <c r="K88" s="273"/>
      <c r="L88" s="273"/>
      <c r="M88" s="26"/>
      <c r="P88" s="26"/>
    </row>
    <row r="89" spans="1:17" ht="26.25" customHeight="1" x14ac:dyDescent="0.3">
      <c r="B89" s="26"/>
      <c r="C89" s="201" t="s">
        <v>0</v>
      </c>
      <c r="D89" s="273"/>
      <c r="E89" s="273"/>
      <c r="F89" s="273"/>
      <c r="G89" s="273"/>
      <c r="H89" s="273"/>
      <c r="I89" s="273"/>
      <c r="J89" s="273"/>
      <c r="K89" s="273"/>
      <c r="L89" s="273"/>
      <c r="M89" s="26"/>
      <c r="P89" s="26"/>
    </row>
    <row r="90" spans="1:17" ht="20.25" customHeight="1" x14ac:dyDescent="0.25">
      <c r="B90" s="26"/>
      <c r="C90" s="204" t="s">
        <v>1</v>
      </c>
      <c r="D90" s="273"/>
      <c r="E90" s="273"/>
      <c r="F90" s="273"/>
      <c r="G90" s="273"/>
      <c r="H90" s="273"/>
      <c r="I90" s="273"/>
      <c r="J90" s="273"/>
      <c r="K90" s="273"/>
      <c r="L90" s="273"/>
      <c r="M90" s="26"/>
      <c r="P90" s="26"/>
    </row>
    <row r="91" spans="1:17" ht="15.75" x14ac:dyDescent="0.25">
      <c r="B91" s="26"/>
      <c r="C91" s="205" t="s">
        <v>89</v>
      </c>
      <c r="D91" s="273"/>
      <c r="E91" s="273"/>
      <c r="F91" s="273"/>
      <c r="G91" s="273"/>
      <c r="H91" s="273"/>
      <c r="I91" s="273"/>
      <c r="J91" s="273"/>
      <c r="K91" s="273"/>
      <c r="L91" s="273"/>
      <c r="M91" s="26"/>
      <c r="P91" s="26"/>
    </row>
    <row r="92" spans="1:17" x14ac:dyDescent="0.2">
      <c r="B92" s="30"/>
      <c r="C92" s="29"/>
      <c r="D92" s="29"/>
      <c r="E92" s="29"/>
      <c r="F92" s="29"/>
      <c r="G92" s="29"/>
      <c r="H92" s="29"/>
      <c r="I92" s="29"/>
      <c r="J92" s="29"/>
      <c r="K92" s="29"/>
      <c r="L92" s="29"/>
    </row>
    <row r="93" spans="1:17" x14ac:dyDescent="0.2">
      <c r="A93" s="28"/>
      <c r="B93" s="209"/>
      <c r="C93" s="210" t="s">
        <v>90</v>
      </c>
      <c r="D93" s="209"/>
      <c r="E93" s="209"/>
      <c r="F93" s="209"/>
      <c r="G93" s="209"/>
      <c r="H93" s="209"/>
      <c r="I93" s="209"/>
      <c r="J93" s="209"/>
      <c r="K93" s="209"/>
      <c r="L93" s="209"/>
      <c r="M93" s="209"/>
      <c r="P93" s="28"/>
      <c r="Q93" s="28"/>
    </row>
    <row r="94" spans="1:17" ht="6.95" customHeight="1" thickBot="1" x14ac:dyDescent="0.25">
      <c r="A94" s="28"/>
      <c r="B94" s="223"/>
      <c r="C94" s="223"/>
      <c r="D94" s="223"/>
      <c r="E94" s="221"/>
      <c r="F94" s="223"/>
      <c r="G94" s="349"/>
      <c r="H94" s="223"/>
      <c r="I94" s="221"/>
      <c r="J94" s="223"/>
      <c r="K94" s="223"/>
      <c r="L94" s="223"/>
      <c r="M94" s="223"/>
      <c r="P94" s="28"/>
      <c r="Q94" s="28"/>
    </row>
    <row r="95" spans="1:17" ht="23.25" customHeight="1" thickBot="1" x14ac:dyDescent="0.25">
      <c r="A95" s="28"/>
      <c r="B95" s="223"/>
      <c r="C95" s="395" t="s">
        <v>91</v>
      </c>
      <c r="D95" s="395"/>
      <c r="E95" s="395"/>
      <c r="F95" s="395"/>
      <c r="G95" s="350"/>
      <c r="H95" s="457"/>
      <c r="I95" s="458"/>
      <c r="J95" s="172"/>
      <c r="K95" s="104"/>
      <c r="L95" s="104"/>
      <c r="M95" s="223"/>
      <c r="P95" s="28"/>
      <c r="Q95" s="28"/>
    </row>
    <row r="96" spans="1:17" ht="6.6" customHeight="1" thickBot="1" x14ac:dyDescent="0.25">
      <c r="A96" s="28"/>
      <c r="B96" s="223"/>
      <c r="C96" s="350"/>
      <c r="D96" s="350"/>
      <c r="E96" s="350"/>
      <c r="F96" s="350"/>
      <c r="G96" s="350"/>
      <c r="H96" s="221"/>
      <c r="I96" s="221"/>
      <c r="J96" s="223"/>
      <c r="K96" s="223"/>
      <c r="L96" s="223"/>
      <c r="M96" s="223"/>
      <c r="P96" s="28"/>
      <c r="Q96" s="28"/>
    </row>
    <row r="97" spans="1:17" ht="15.75" customHeight="1" thickBot="1" x14ac:dyDescent="0.25">
      <c r="A97" s="28"/>
      <c r="B97" s="223"/>
      <c r="C97" s="348" t="s">
        <v>568</v>
      </c>
      <c r="D97" s="223"/>
      <c r="E97" s="221"/>
      <c r="F97" s="223"/>
      <c r="G97" s="349"/>
      <c r="H97" s="457"/>
      <c r="I97" s="458"/>
      <c r="J97" s="223"/>
      <c r="K97" s="223"/>
      <c r="L97" s="223"/>
      <c r="M97" s="223"/>
      <c r="P97" s="28"/>
      <c r="Q97" s="28"/>
    </row>
    <row r="98" spans="1:17" ht="6.75" customHeight="1" thickBot="1" x14ac:dyDescent="0.25">
      <c r="A98" s="28"/>
      <c r="B98" s="223"/>
      <c r="C98" s="348"/>
      <c r="D98" s="223"/>
      <c r="E98" s="221"/>
      <c r="F98" s="223"/>
      <c r="G98" s="349"/>
      <c r="H98" s="221"/>
      <c r="I98" s="221"/>
      <c r="J98" s="223"/>
      <c r="K98" s="223"/>
      <c r="L98" s="223"/>
      <c r="M98" s="223"/>
      <c r="P98" s="28"/>
      <c r="Q98" s="28"/>
    </row>
    <row r="99" spans="1:17" ht="15" customHeight="1" thickBot="1" x14ac:dyDescent="0.25">
      <c r="A99" s="28"/>
      <c r="B99" s="223"/>
      <c r="C99" s="348" t="s">
        <v>80</v>
      </c>
      <c r="D99" s="223"/>
      <c r="E99" s="221"/>
      <c r="F99" s="223"/>
      <c r="G99" s="349"/>
      <c r="H99" s="437"/>
      <c r="I99" s="438"/>
      <c r="J99" s="245" t="str">
        <f>IFERROR(VLOOKUP(H99,Contrôle!$AD$3:$AF$4,3,FALSE),"")</f>
        <v/>
      </c>
      <c r="K99" s="348" t="str">
        <f>IF(H99 = "R", "imperial unit", "international unit")</f>
        <v>international unit</v>
      </c>
      <c r="L99" s="223"/>
      <c r="M99" s="223"/>
      <c r="P99" s="28"/>
      <c r="Q99" s="28"/>
    </row>
    <row r="100" spans="1:17" ht="15.6" customHeight="1" x14ac:dyDescent="0.2">
      <c r="A100" s="28"/>
      <c r="B100" s="223"/>
      <c r="C100" s="348" t="s">
        <v>92</v>
      </c>
      <c r="D100" s="223"/>
      <c r="E100" s="221"/>
      <c r="F100" s="223"/>
      <c r="G100" s="349"/>
      <c r="H100" s="221"/>
      <c r="I100" s="221"/>
      <c r="J100" s="265"/>
      <c r="K100" s="223"/>
      <c r="L100" s="223"/>
      <c r="M100" s="223"/>
      <c r="P100" s="28"/>
      <c r="Q100" s="28"/>
    </row>
    <row r="101" spans="1:17" ht="6.6" customHeight="1" thickBot="1" x14ac:dyDescent="0.25">
      <c r="A101" s="28"/>
      <c r="B101" s="223"/>
      <c r="C101" s="348"/>
      <c r="D101" s="223"/>
      <c r="E101" s="221"/>
      <c r="F101" s="223"/>
      <c r="G101" s="223"/>
      <c r="H101" s="221"/>
      <c r="I101" s="221"/>
      <c r="J101" s="265"/>
      <c r="K101" s="223"/>
      <c r="L101" s="223"/>
      <c r="M101" s="223"/>
      <c r="P101" s="28"/>
      <c r="Q101" s="28"/>
    </row>
    <row r="102" spans="1:17" ht="17.100000000000001" customHeight="1" thickBot="1" x14ac:dyDescent="0.25">
      <c r="A102" s="28"/>
      <c r="B102" s="223"/>
      <c r="C102" s="348" t="str">
        <f>"Please indicate " &amp;H99&amp; " value:"</f>
        <v>Please indicate  value:</v>
      </c>
      <c r="D102" s="223"/>
      <c r="E102" s="252" t="s">
        <v>569</v>
      </c>
      <c r="F102" s="223"/>
      <c r="G102" s="223"/>
      <c r="H102" s="443"/>
      <c r="I102" s="444"/>
      <c r="J102" s="227" t="str">
        <f>J99</f>
        <v/>
      </c>
      <c r="K102" s="221" t="str">
        <f>K99</f>
        <v>international unit</v>
      </c>
      <c r="L102" s="223"/>
      <c r="M102" s="223"/>
      <c r="O102" s="385" t="s">
        <v>567</v>
      </c>
      <c r="P102" s="28"/>
      <c r="Q102" s="28"/>
    </row>
    <row r="103" spans="1:17" ht="6.75" customHeight="1" x14ac:dyDescent="0.2">
      <c r="A103" s="28"/>
      <c r="B103" s="223"/>
      <c r="C103" s="348"/>
      <c r="D103" s="223"/>
      <c r="E103" s="221"/>
      <c r="F103" s="223"/>
      <c r="G103" s="223"/>
      <c r="H103" s="221"/>
      <c r="I103" s="221"/>
      <c r="J103" s="265"/>
      <c r="K103" s="223"/>
      <c r="L103" s="223"/>
      <c r="M103" s="223"/>
      <c r="O103" s="462" t="str" cm="1">
        <f t="array" ref="O103">_xlfn.IFS(H97="","",H97&lt;1983,"La date de la dernière rénovation des murs hors sol date d'avant 1983.",H97&gt;1983,"La date de la dernière rénovation des murs hors sol date d'après 1983.",H97=1983,"La date de la dernière rénovation des murs hors sol date de 1983.")</f>
        <v/>
      </c>
      <c r="P103" s="28"/>
      <c r="Q103" s="28"/>
    </row>
    <row r="104" spans="1:17" ht="15.6" customHeight="1" x14ac:dyDescent="0.2">
      <c r="A104" s="28"/>
      <c r="B104" s="223"/>
      <c r="C104" s="348"/>
      <c r="D104" s="223"/>
      <c r="E104" s="252" t="s">
        <v>566</v>
      </c>
      <c r="F104" s="252"/>
      <c r="G104" s="223"/>
      <c r="H104" s="439" t="str" cm="1">
        <f t="array" ref="H104">_xlfn.IFS(H99="","",H99="RSI",'Niveau murs hors sol'!$S$17,'2 - Description of the work'!H99="R",'Niveau murs hors sol'!R17)</f>
        <v/>
      </c>
      <c r="I104" s="440"/>
      <c r="J104" s="227" t="str">
        <f>J99</f>
        <v/>
      </c>
      <c r="K104" s="221" t="str">
        <f>K99</f>
        <v>international unit</v>
      </c>
      <c r="L104" s="223"/>
      <c r="M104" s="223"/>
      <c r="O104" s="462"/>
      <c r="P104" s="28"/>
      <c r="Q104" s="28"/>
    </row>
    <row r="105" spans="1:17" ht="15.6" customHeight="1" x14ac:dyDescent="0.2">
      <c r="A105" s="28"/>
      <c r="B105" s="223"/>
      <c r="C105" s="348"/>
      <c r="D105" s="223"/>
      <c r="E105" s="223"/>
      <c r="F105" s="252"/>
      <c r="G105" s="223"/>
      <c r="H105" s="223"/>
      <c r="I105" s="223"/>
      <c r="J105" s="223"/>
      <c r="K105" s="221"/>
      <c r="L105" s="223"/>
      <c r="M105" s="223"/>
      <c r="O105" s="386"/>
      <c r="P105" s="28"/>
      <c r="Q105" s="28"/>
    </row>
    <row r="106" spans="1:17" ht="24.6" customHeight="1" x14ac:dyDescent="0.2">
      <c r="A106" s="28"/>
      <c r="B106" s="223"/>
      <c r="C106" s="441" t="s">
        <v>93</v>
      </c>
      <c r="D106" s="441"/>
      <c r="E106" s="441"/>
      <c r="F106" s="441"/>
      <c r="G106" s="442"/>
      <c r="H106" s="439" t="str">
        <f>IF('Niveau murs hors sol'!G9 = 1,"Yes","No")</f>
        <v>No</v>
      </c>
      <c r="I106" s="440"/>
      <c r="J106" s="223"/>
      <c r="K106" s="223"/>
      <c r="L106" s="223"/>
      <c r="M106" s="223"/>
      <c r="O106" s="386"/>
      <c r="P106" s="28"/>
      <c r="Q106" s="28"/>
    </row>
    <row r="107" spans="1:17" ht="14.25" customHeight="1" x14ac:dyDescent="0.2">
      <c r="A107" s="28"/>
      <c r="B107" s="223"/>
      <c r="C107" s="348"/>
      <c r="D107" s="223"/>
      <c r="E107" s="221"/>
      <c r="F107" s="223"/>
      <c r="G107" s="223"/>
      <c r="H107" s="221"/>
      <c r="I107" s="221"/>
      <c r="J107" s="265"/>
      <c r="K107" s="223"/>
      <c r="L107" s="223"/>
      <c r="M107" s="223"/>
      <c r="P107" s="28"/>
      <c r="Q107" s="28"/>
    </row>
    <row r="108" spans="1:17" x14ac:dyDescent="0.2">
      <c r="A108" s="28"/>
      <c r="B108" s="223"/>
      <c r="C108" s="266" t="str">
        <f>"** The minimum eligible value is " &amp; 'Niveau murs hors sol'!T5</f>
        <v>** The minimum eligible value is - RSI 3,33</v>
      </c>
      <c r="D108" s="223"/>
      <c r="E108" s="221"/>
      <c r="F108" s="223"/>
      <c r="G108" s="266"/>
      <c r="H108" s="221"/>
      <c r="I108" s="221"/>
      <c r="J108" s="223"/>
      <c r="K108" s="223"/>
      <c r="L108" s="223"/>
      <c r="M108" s="223"/>
      <c r="P108" s="28"/>
      <c r="Q108" s="28"/>
    </row>
    <row r="109" spans="1:17" x14ac:dyDescent="0.2">
      <c r="A109" s="28"/>
      <c r="B109" s="223"/>
      <c r="C109" s="266"/>
      <c r="D109" s="223"/>
      <c r="E109" s="221"/>
      <c r="F109" s="223"/>
      <c r="G109" s="266"/>
      <c r="H109" s="221"/>
      <c r="I109" s="221"/>
      <c r="J109" s="223"/>
      <c r="K109" s="223"/>
      <c r="L109" s="223"/>
      <c r="M109" s="223"/>
      <c r="P109" s="28"/>
      <c r="Q109" s="28"/>
    </row>
    <row r="110" spans="1:17" x14ac:dyDescent="0.2">
      <c r="A110" s="28"/>
      <c r="B110" s="223"/>
      <c r="C110" s="456" t="s">
        <v>94</v>
      </c>
      <c r="D110" s="456"/>
      <c r="E110" s="456"/>
      <c r="F110" s="456"/>
      <c r="G110" s="456"/>
      <c r="H110" s="456"/>
      <c r="I110" s="456"/>
      <c r="J110" s="456"/>
      <c r="K110" s="456"/>
      <c r="L110" s="223"/>
      <c r="M110" s="223"/>
      <c r="P110" s="28"/>
      <c r="Q110" s="28"/>
    </row>
    <row r="111" spans="1:17" ht="6.95" customHeight="1" thickBot="1" x14ac:dyDescent="0.25">
      <c r="A111" s="28"/>
      <c r="B111" s="223"/>
      <c r="C111" s="223"/>
      <c r="D111" s="223"/>
      <c r="E111" s="221"/>
      <c r="F111" s="223"/>
      <c r="G111" s="349"/>
      <c r="H111" s="223"/>
      <c r="I111" s="221"/>
      <c r="J111" s="223"/>
      <c r="K111" s="223"/>
      <c r="L111" s="223"/>
      <c r="M111" s="223"/>
      <c r="P111" s="28"/>
      <c r="Q111" s="28"/>
    </row>
    <row r="112" spans="1:17" ht="14.45" customHeight="1" thickBot="1" x14ac:dyDescent="0.25">
      <c r="A112" s="28"/>
      <c r="B112" s="223"/>
      <c r="C112" s="267" t="s">
        <v>95</v>
      </c>
      <c r="D112" s="268"/>
      <c r="E112" s="268"/>
      <c r="F112" s="269"/>
      <c r="G112" s="221"/>
      <c r="H112" s="267" t="s">
        <v>96</v>
      </c>
      <c r="I112" s="268"/>
      <c r="J112" s="268"/>
      <c r="K112" s="269"/>
      <c r="L112" s="223"/>
      <c r="M112" s="223"/>
      <c r="P112" s="28"/>
      <c r="Q112" s="28"/>
    </row>
    <row r="113" spans="1:17" x14ac:dyDescent="0.2">
      <c r="A113" s="28"/>
      <c r="B113" s="223"/>
      <c r="C113" s="445"/>
      <c r="D113" s="446"/>
      <c r="E113" s="446"/>
      <c r="F113" s="447"/>
      <c r="G113" s="221"/>
      <c r="H113" s="445"/>
      <c r="I113" s="446"/>
      <c r="J113" s="446"/>
      <c r="K113" s="447"/>
      <c r="L113" s="223"/>
      <c r="M113" s="223"/>
      <c r="P113" s="28"/>
      <c r="Q113" s="28"/>
    </row>
    <row r="114" spans="1:17" x14ac:dyDescent="0.2">
      <c r="A114" s="28"/>
      <c r="B114" s="223"/>
      <c r="C114" s="448"/>
      <c r="D114" s="449"/>
      <c r="E114" s="449"/>
      <c r="F114" s="450"/>
      <c r="G114" s="221"/>
      <c r="H114" s="448"/>
      <c r="I114" s="449"/>
      <c r="J114" s="449"/>
      <c r="K114" s="450"/>
      <c r="L114" s="223"/>
      <c r="M114" s="223"/>
      <c r="P114" s="28"/>
      <c r="Q114" s="28"/>
    </row>
    <row r="115" spans="1:17" x14ac:dyDescent="0.2">
      <c r="A115" s="28"/>
      <c r="B115" s="223"/>
      <c r="C115" s="448"/>
      <c r="D115" s="449"/>
      <c r="E115" s="449"/>
      <c r="F115" s="450"/>
      <c r="G115" s="221"/>
      <c r="H115" s="448"/>
      <c r="I115" s="449"/>
      <c r="J115" s="449"/>
      <c r="K115" s="450"/>
      <c r="L115" s="223"/>
      <c r="M115" s="223"/>
      <c r="P115" s="28"/>
      <c r="Q115" s="28"/>
    </row>
    <row r="116" spans="1:17" x14ac:dyDescent="0.2">
      <c r="A116" s="28"/>
      <c r="B116" s="223"/>
      <c r="C116" s="448"/>
      <c r="D116" s="449"/>
      <c r="E116" s="449"/>
      <c r="F116" s="450"/>
      <c r="G116" s="221"/>
      <c r="H116" s="448"/>
      <c r="I116" s="449"/>
      <c r="J116" s="449"/>
      <c r="K116" s="450"/>
      <c r="L116" s="223"/>
      <c r="M116" s="223"/>
      <c r="P116" s="28"/>
      <c r="Q116" s="28"/>
    </row>
    <row r="117" spans="1:17" x14ac:dyDescent="0.2">
      <c r="A117" s="28"/>
      <c r="B117" s="223"/>
      <c r="C117" s="448"/>
      <c r="D117" s="449"/>
      <c r="E117" s="449"/>
      <c r="F117" s="450"/>
      <c r="G117" s="221"/>
      <c r="H117" s="448"/>
      <c r="I117" s="449"/>
      <c r="J117" s="449"/>
      <c r="K117" s="450"/>
      <c r="L117" s="223"/>
      <c r="M117" s="223"/>
      <c r="P117" s="28"/>
      <c r="Q117" s="28"/>
    </row>
    <row r="118" spans="1:17" ht="15" thickBot="1" x14ac:dyDescent="0.25">
      <c r="A118" s="28"/>
      <c r="B118" s="223"/>
      <c r="C118" s="451"/>
      <c r="D118" s="452"/>
      <c r="E118" s="452"/>
      <c r="F118" s="453"/>
      <c r="G118" s="221"/>
      <c r="H118" s="451"/>
      <c r="I118" s="452"/>
      <c r="J118" s="452"/>
      <c r="K118" s="453"/>
      <c r="L118" s="223"/>
      <c r="M118" s="223"/>
      <c r="P118" s="28"/>
      <c r="Q118" s="28"/>
    </row>
    <row r="119" spans="1:17" ht="26.45" customHeight="1" x14ac:dyDescent="0.2">
      <c r="A119" s="28"/>
      <c r="B119" s="223"/>
      <c r="C119" s="396" t="s">
        <v>97</v>
      </c>
      <c r="D119" s="396"/>
      <c r="E119" s="396"/>
      <c r="F119" s="396"/>
      <c r="G119" s="396"/>
      <c r="H119" s="396"/>
      <c r="I119" s="396"/>
      <c r="J119" s="396"/>
      <c r="K119" s="396"/>
      <c r="L119" s="223"/>
      <c r="M119" s="223"/>
      <c r="P119" s="28"/>
      <c r="Q119" s="28"/>
    </row>
    <row r="120" spans="1:17" ht="15" customHeight="1" x14ac:dyDescent="0.2">
      <c r="A120" s="28"/>
      <c r="B120" s="229"/>
      <c r="C120" s="351"/>
      <c r="D120" s="351"/>
      <c r="E120" s="351"/>
      <c r="F120" s="351"/>
      <c r="G120" s="351"/>
      <c r="H120" s="351"/>
      <c r="I120" s="351"/>
      <c r="J120" s="351"/>
      <c r="K120" s="351"/>
      <c r="L120" s="351"/>
      <c r="M120" s="229"/>
      <c r="P120" s="274"/>
      <c r="Q120" s="28"/>
    </row>
    <row r="121" spans="1:17" ht="15" customHeight="1" x14ac:dyDescent="0.2">
      <c r="A121" s="28"/>
      <c r="B121" s="29"/>
      <c r="C121" s="29"/>
      <c r="D121" s="29"/>
      <c r="E121" s="29"/>
      <c r="F121" s="29"/>
      <c r="G121" s="29"/>
      <c r="H121" s="29"/>
      <c r="I121" s="29"/>
      <c r="J121" s="29"/>
      <c r="K121" s="29"/>
      <c r="L121" s="29"/>
      <c r="M121" s="28"/>
      <c r="P121" s="28"/>
      <c r="Q121" s="28"/>
    </row>
    <row r="122" spans="1:17" ht="15" customHeight="1" x14ac:dyDescent="0.2">
      <c r="A122" s="28"/>
      <c r="B122" s="209"/>
      <c r="C122" s="210" t="s">
        <v>98</v>
      </c>
      <c r="D122" s="209"/>
      <c r="E122" s="209"/>
      <c r="F122" s="209"/>
      <c r="G122" s="209"/>
      <c r="H122" s="209"/>
      <c r="I122" s="209"/>
      <c r="J122" s="209"/>
      <c r="K122" s="209"/>
      <c r="L122" s="209"/>
      <c r="M122" s="209"/>
      <c r="P122" s="28"/>
      <c r="Q122" s="28"/>
    </row>
    <row r="123" spans="1:17" ht="6.6" customHeight="1" thickBot="1" x14ac:dyDescent="0.25">
      <c r="A123" s="28"/>
      <c r="B123" s="223"/>
      <c r="C123" s="223"/>
      <c r="D123" s="223"/>
      <c r="E123" s="221"/>
      <c r="F123" s="223"/>
      <c r="G123" s="349"/>
      <c r="H123" s="223"/>
      <c r="I123" s="221"/>
      <c r="J123" s="223"/>
      <c r="K123" s="223"/>
      <c r="L123" s="223"/>
      <c r="M123" s="223"/>
      <c r="P123" s="28"/>
      <c r="Q123" s="28"/>
    </row>
    <row r="124" spans="1:17" ht="21" customHeight="1" thickBot="1" x14ac:dyDescent="0.25">
      <c r="A124" s="28"/>
      <c r="B124" s="223"/>
      <c r="C124" s="395" t="s">
        <v>99</v>
      </c>
      <c r="D124" s="395"/>
      <c r="E124" s="395"/>
      <c r="F124" s="395"/>
      <c r="G124" s="349"/>
      <c r="H124" s="457"/>
      <c r="I124" s="458"/>
      <c r="J124" s="172"/>
      <c r="K124" s="104"/>
      <c r="L124" s="104"/>
      <c r="M124" s="223"/>
      <c r="P124" s="28"/>
      <c r="Q124" s="28"/>
    </row>
    <row r="125" spans="1:17" ht="9.75" customHeight="1" thickBot="1" x14ac:dyDescent="0.25">
      <c r="A125" s="28"/>
      <c r="B125" s="223"/>
      <c r="C125" s="395"/>
      <c r="D125" s="395"/>
      <c r="E125" s="395"/>
      <c r="F125" s="395"/>
      <c r="G125" s="349"/>
      <c r="H125" s="221"/>
      <c r="I125" s="221"/>
      <c r="J125" s="223"/>
      <c r="K125" s="223"/>
      <c r="L125" s="223"/>
      <c r="M125" s="223"/>
      <c r="P125" s="28"/>
      <c r="Q125" s="28"/>
    </row>
    <row r="126" spans="1:17" ht="15" customHeight="1" thickBot="1" x14ac:dyDescent="0.25">
      <c r="A126" s="28"/>
      <c r="B126" s="223"/>
      <c r="C126" s="348" t="s">
        <v>570</v>
      </c>
      <c r="D126" s="223"/>
      <c r="E126" s="221"/>
      <c r="F126" s="223"/>
      <c r="G126" s="349"/>
      <c r="H126" s="457"/>
      <c r="I126" s="458"/>
      <c r="J126" s="223"/>
      <c r="K126" s="223"/>
      <c r="L126" s="223"/>
      <c r="M126" s="223"/>
      <c r="P126" s="28"/>
      <c r="Q126" s="28"/>
    </row>
    <row r="127" spans="1:17" ht="6.75" customHeight="1" thickBot="1" x14ac:dyDescent="0.25">
      <c r="A127" s="28"/>
      <c r="B127" s="223"/>
      <c r="C127" s="348"/>
      <c r="D127" s="223"/>
      <c r="E127" s="221"/>
      <c r="F127" s="223"/>
      <c r="G127" s="349"/>
      <c r="H127" s="221"/>
      <c r="I127" s="221"/>
      <c r="J127" s="223"/>
      <c r="K127" s="223"/>
      <c r="L127" s="223"/>
      <c r="M127" s="223"/>
      <c r="P127" s="28"/>
      <c r="Q127" s="28"/>
    </row>
    <row r="128" spans="1:17" ht="15.6" customHeight="1" thickBot="1" x14ac:dyDescent="0.25">
      <c r="A128" s="28"/>
      <c r="B128" s="223"/>
      <c r="C128" s="348" t="s">
        <v>80</v>
      </c>
      <c r="D128" s="223"/>
      <c r="E128" s="221"/>
      <c r="F128" s="223"/>
      <c r="G128" s="349"/>
      <c r="H128" s="437"/>
      <c r="I128" s="438"/>
      <c r="J128" s="245" t="str">
        <f>IFERROR(VLOOKUP(H128,Contrôle!$AD$3:$AF$4,3,FALSE),"")</f>
        <v/>
      </c>
      <c r="K128" s="348" t="str">
        <f>IF(H128 = "R", "imperial unit", "international unit")</f>
        <v>international unit</v>
      </c>
      <c r="L128" s="223"/>
      <c r="M128" s="223"/>
      <c r="P128" s="28"/>
      <c r="Q128" s="28"/>
    </row>
    <row r="129" spans="1:17" ht="15.6" customHeight="1" x14ac:dyDescent="0.2">
      <c r="A129" s="28"/>
      <c r="B129" s="223"/>
      <c r="C129" s="348" t="s">
        <v>81</v>
      </c>
      <c r="D129" s="223"/>
      <c r="E129" s="221"/>
      <c r="F129" s="223"/>
      <c r="G129" s="349"/>
      <c r="H129" s="221"/>
      <c r="I129" s="221"/>
      <c r="J129" s="265"/>
      <c r="K129" s="223"/>
      <c r="L129" s="223"/>
      <c r="M129" s="223"/>
      <c r="P129" s="28"/>
      <c r="Q129" s="28"/>
    </row>
    <row r="130" spans="1:17" ht="6.6" customHeight="1" thickBot="1" x14ac:dyDescent="0.25">
      <c r="A130" s="28"/>
      <c r="B130" s="223"/>
      <c r="C130" s="348"/>
      <c r="D130" s="223"/>
      <c r="E130" s="221"/>
      <c r="F130" s="223"/>
      <c r="G130" s="223"/>
      <c r="H130" s="221"/>
      <c r="I130" s="221"/>
      <c r="J130" s="265"/>
      <c r="K130" s="223"/>
      <c r="L130" s="223"/>
      <c r="M130" s="223"/>
      <c r="P130" s="28"/>
      <c r="Q130" s="28"/>
    </row>
    <row r="131" spans="1:17" ht="15.6" customHeight="1" thickBot="1" x14ac:dyDescent="0.25">
      <c r="A131" s="28"/>
      <c r="B131" s="223"/>
      <c r="C131" s="348" t="str">
        <f>"Please indicate " &amp; H128 &amp; " value:"</f>
        <v>Please indicate  value:</v>
      </c>
      <c r="D131" s="223"/>
      <c r="E131" s="252" t="s">
        <v>571</v>
      </c>
      <c r="F131" s="252"/>
      <c r="G131" s="223"/>
      <c r="H131" s="454"/>
      <c r="I131" s="455"/>
      <c r="J131" s="227" t="str">
        <f>J128</f>
        <v/>
      </c>
      <c r="K131" s="221" t="str">
        <f>K128</f>
        <v>international unit</v>
      </c>
      <c r="L131" s="223"/>
      <c r="M131" s="221"/>
      <c r="O131" s="385" t="s">
        <v>567</v>
      </c>
      <c r="P131" s="29"/>
      <c r="Q131" s="28"/>
    </row>
    <row r="132" spans="1:17" ht="6.75" customHeight="1" x14ac:dyDescent="0.2">
      <c r="A132" s="28"/>
      <c r="B132" s="223"/>
      <c r="C132" s="348"/>
      <c r="D132" s="223"/>
      <c r="E132" s="221"/>
      <c r="F132" s="223"/>
      <c r="G132" s="223"/>
      <c r="H132" s="221"/>
      <c r="I132" s="221"/>
      <c r="J132" s="265"/>
      <c r="K132" s="223"/>
      <c r="L132" s="223"/>
      <c r="M132" s="221"/>
      <c r="O132" s="462" t="str" cm="1">
        <f t="array" ref="O132">_xlfn.IFS(H126="","",H126&lt;1983,"La date de la dernière rénovation des murs sous sol date d'avant 1983.",H126&gt;1983,"La date de la dernière rénovation des murs sous sol date d'après 1983.",H126=1983,"La date de la dernière rénovation des murs sous sol date de 1983.")</f>
        <v/>
      </c>
      <c r="P132" s="29"/>
      <c r="Q132" s="28"/>
    </row>
    <row r="133" spans="1:17" ht="15.6" customHeight="1" x14ac:dyDescent="0.2">
      <c r="A133" s="28"/>
      <c r="B133" s="223"/>
      <c r="C133" s="348"/>
      <c r="D133" s="223"/>
      <c r="E133" s="252" t="s">
        <v>566</v>
      </c>
      <c r="F133" s="252"/>
      <c r="G133" s="223"/>
      <c r="H133" s="439" t="str" cm="1">
        <f t="array" ref="H133">_xlfn.IFS(H128="","",H128="RSI",'Niveau murs sous-sol'!S16,'2 - Description of the work'!H128="R",'Niveau murs sous-sol'!R16)</f>
        <v/>
      </c>
      <c r="I133" s="440"/>
      <c r="J133" s="227" t="str">
        <f>J128</f>
        <v/>
      </c>
      <c r="K133" s="221" t="str">
        <f>K128</f>
        <v>international unit</v>
      </c>
      <c r="L133" s="223"/>
      <c r="M133" s="221"/>
      <c r="O133" s="462"/>
      <c r="P133" s="29"/>
      <c r="Q133" s="28"/>
    </row>
    <row r="134" spans="1:17" ht="14.25" customHeight="1" x14ac:dyDescent="0.2">
      <c r="A134" s="28"/>
      <c r="B134" s="223"/>
      <c r="C134" s="348"/>
      <c r="D134" s="223"/>
      <c r="E134" s="221"/>
      <c r="F134" s="223"/>
      <c r="G134" s="223"/>
      <c r="H134" s="221"/>
      <c r="I134" s="221"/>
      <c r="J134" s="265"/>
      <c r="K134" s="223"/>
      <c r="L134" s="223"/>
      <c r="M134" s="223"/>
      <c r="O134" s="386"/>
      <c r="P134" s="28"/>
      <c r="Q134" s="28"/>
    </row>
    <row r="135" spans="1:17" ht="24.6" customHeight="1" x14ac:dyDescent="0.2">
      <c r="A135" s="28"/>
      <c r="B135" s="223"/>
      <c r="C135" s="441" t="s">
        <v>100</v>
      </c>
      <c r="D135" s="441"/>
      <c r="E135" s="441"/>
      <c r="F135" s="441"/>
      <c r="G135" s="442"/>
      <c r="H135" s="439" t="str">
        <f>IF('Niveau murs sous-sol'!G9 = 1,"Yes","No")</f>
        <v>No</v>
      </c>
      <c r="I135" s="440"/>
      <c r="J135" s="265"/>
      <c r="K135" s="223"/>
      <c r="L135" s="223"/>
      <c r="M135" s="223"/>
      <c r="O135" s="386"/>
      <c r="P135" s="28"/>
      <c r="Q135" s="28"/>
    </row>
    <row r="136" spans="1:17" ht="14.1" customHeight="1" x14ac:dyDescent="0.2">
      <c r="A136" s="28"/>
      <c r="B136" s="223"/>
      <c r="C136" s="348"/>
      <c r="D136" s="223"/>
      <c r="E136" s="221"/>
      <c r="F136" s="223"/>
      <c r="G136" s="223"/>
      <c r="H136" s="221"/>
      <c r="I136" s="221"/>
      <c r="J136" s="265"/>
      <c r="K136" s="223"/>
      <c r="L136" s="223"/>
      <c r="M136" s="223"/>
      <c r="O136" s="386"/>
      <c r="P136" s="28"/>
      <c r="Q136" s="28"/>
    </row>
    <row r="137" spans="1:17" x14ac:dyDescent="0.2">
      <c r="A137" s="28"/>
      <c r="B137" s="223"/>
      <c r="C137" s="266" t="str">
        <f>"** The minimume eligible value is " &amp; 'Niveau murs sous-sol'!T5</f>
        <v>** The minimume eligible value is - RSI 3,33</v>
      </c>
      <c r="D137" s="223"/>
      <c r="E137" s="221"/>
      <c r="F137" s="223"/>
      <c r="G137" s="266"/>
      <c r="H137" s="221"/>
      <c r="I137" s="221"/>
      <c r="J137" s="223"/>
      <c r="K137" s="223"/>
      <c r="L137" s="223"/>
      <c r="M137" s="223"/>
      <c r="P137" s="28"/>
      <c r="Q137" s="28"/>
    </row>
    <row r="138" spans="1:17" x14ac:dyDescent="0.2">
      <c r="A138" s="28"/>
      <c r="B138" s="223"/>
      <c r="C138" s="266"/>
      <c r="D138" s="223"/>
      <c r="E138" s="221"/>
      <c r="F138" s="223"/>
      <c r="G138" s="266"/>
      <c r="H138" s="221"/>
      <c r="I138" s="221"/>
      <c r="J138" s="223"/>
      <c r="K138" s="223"/>
      <c r="L138" s="223"/>
      <c r="M138" s="223"/>
      <c r="P138" s="28"/>
      <c r="Q138" s="28"/>
    </row>
    <row r="139" spans="1:17" ht="14.1" customHeight="1" x14ac:dyDescent="0.2">
      <c r="A139" s="28"/>
      <c r="B139" s="223"/>
      <c r="C139" s="456" t="s">
        <v>101</v>
      </c>
      <c r="D139" s="456"/>
      <c r="E139" s="456"/>
      <c r="F139" s="456"/>
      <c r="G139" s="456"/>
      <c r="H139" s="456"/>
      <c r="I139" s="456"/>
      <c r="J139" s="456"/>
      <c r="K139" s="456"/>
      <c r="L139" s="223"/>
      <c r="M139" s="223"/>
      <c r="P139" s="28"/>
      <c r="Q139" s="28"/>
    </row>
    <row r="140" spans="1:17" ht="6.95" customHeight="1" thickBot="1" x14ac:dyDescent="0.25">
      <c r="A140" s="28"/>
      <c r="B140" s="223"/>
      <c r="C140" s="223"/>
      <c r="D140" s="223"/>
      <c r="E140" s="221"/>
      <c r="F140" s="223"/>
      <c r="G140" s="349"/>
      <c r="H140" s="223"/>
      <c r="I140" s="221"/>
      <c r="J140" s="223"/>
      <c r="K140" s="223"/>
      <c r="L140" s="223"/>
      <c r="M140" s="223"/>
      <c r="P140" s="28"/>
      <c r="Q140" s="28"/>
    </row>
    <row r="141" spans="1:17" ht="14.45" customHeight="1" thickBot="1" x14ac:dyDescent="0.25">
      <c r="A141" s="28"/>
      <c r="B141" s="223"/>
      <c r="C141" s="267" t="s">
        <v>102</v>
      </c>
      <c r="D141" s="268"/>
      <c r="E141" s="268"/>
      <c r="F141" s="269"/>
      <c r="G141" s="221"/>
      <c r="H141" s="267" t="s">
        <v>103</v>
      </c>
      <c r="I141" s="268"/>
      <c r="J141" s="268"/>
      <c r="K141" s="269"/>
      <c r="L141" s="223"/>
      <c r="M141" s="223"/>
      <c r="P141" s="28"/>
      <c r="Q141" s="28"/>
    </row>
    <row r="142" spans="1:17" x14ac:dyDescent="0.2">
      <c r="A142" s="28"/>
      <c r="B142" s="223"/>
      <c r="C142" s="445"/>
      <c r="D142" s="446"/>
      <c r="E142" s="446"/>
      <c r="F142" s="447"/>
      <c r="G142" s="221"/>
      <c r="H142" s="445"/>
      <c r="I142" s="446"/>
      <c r="J142" s="446"/>
      <c r="K142" s="447"/>
      <c r="L142" s="223"/>
      <c r="M142" s="223"/>
      <c r="P142" s="28"/>
      <c r="Q142" s="28"/>
    </row>
    <row r="143" spans="1:17" x14ac:dyDescent="0.2">
      <c r="A143" s="28"/>
      <c r="B143" s="223"/>
      <c r="C143" s="448"/>
      <c r="D143" s="449"/>
      <c r="E143" s="449"/>
      <c r="F143" s="450"/>
      <c r="G143" s="221"/>
      <c r="H143" s="448"/>
      <c r="I143" s="449"/>
      <c r="J143" s="449"/>
      <c r="K143" s="450"/>
      <c r="L143" s="223"/>
      <c r="M143" s="223"/>
      <c r="P143" s="28"/>
      <c r="Q143" s="28"/>
    </row>
    <row r="144" spans="1:17" x14ac:dyDescent="0.2">
      <c r="A144" s="28"/>
      <c r="B144" s="223"/>
      <c r="C144" s="448"/>
      <c r="D144" s="449"/>
      <c r="E144" s="449"/>
      <c r="F144" s="450"/>
      <c r="G144" s="221"/>
      <c r="H144" s="448"/>
      <c r="I144" s="449"/>
      <c r="J144" s="449"/>
      <c r="K144" s="450"/>
      <c r="L144" s="223"/>
      <c r="M144" s="223"/>
      <c r="P144" s="28"/>
      <c r="Q144" s="28"/>
    </row>
    <row r="145" spans="1:19" x14ac:dyDescent="0.2">
      <c r="A145" s="28"/>
      <c r="B145" s="223"/>
      <c r="C145" s="448"/>
      <c r="D145" s="449"/>
      <c r="E145" s="449"/>
      <c r="F145" s="450"/>
      <c r="G145" s="221"/>
      <c r="H145" s="448"/>
      <c r="I145" s="449"/>
      <c r="J145" s="449"/>
      <c r="K145" s="450"/>
      <c r="L145" s="223"/>
      <c r="M145" s="223"/>
      <c r="P145" s="28"/>
      <c r="Q145" s="28"/>
    </row>
    <row r="146" spans="1:19" x14ac:dyDescent="0.2">
      <c r="A146" s="28"/>
      <c r="B146" s="223"/>
      <c r="C146" s="448"/>
      <c r="D146" s="449"/>
      <c r="E146" s="449"/>
      <c r="F146" s="450"/>
      <c r="G146" s="221"/>
      <c r="H146" s="448"/>
      <c r="I146" s="449"/>
      <c r="J146" s="449"/>
      <c r="K146" s="450"/>
      <c r="L146" s="223"/>
      <c r="M146" s="223"/>
      <c r="P146" s="28"/>
      <c r="Q146" s="28"/>
    </row>
    <row r="147" spans="1:19" ht="15" thickBot="1" x14ac:dyDescent="0.25">
      <c r="A147" s="28"/>
      <c r="B147" s="223"/>
      <c r="C147" s="451"/>
      <c r="D147" s="452"/>
      <c r="E147" s="452"/>
      <c r="F147" s="453"/>
      <c r="G147" s="221"/>
      <c r="H147" s="451"/>
      <c r="I147" s="452"/>
      <c r="J147" s="452"/>
      <c r="K147" s="453"/>
      <c r="L147" s="223"/>
      <c r="M147" s="223"/>
      <c r="P147" s="28"/>
      <c r="Q147" s="28"/>
    </row>
    <row r="148" spans="1:19" ht="31.5" customHeight="1" x14ac:dyDescent="0.2">
      <c r="A148" s="28"/>
      <c r="B148" s="223"/>
      <c r="C148" s="396" t="s">
        <v>104</v>
      </c>
      <c r="D148" s="396"/>
      <c r="E148" s="396"/>
      <c r="F148" s="396"/>
      <c r="G148" s="396"/>
      <c r="H148" s="396"/>
      <c r="I148" s="396"/>
      <c r="J148" s="396"/>
      <c r="K148" s="396"/>
      <c r="L148" s="223"/>
      <c r="M148" s="223"/>
      <c r="P148" s="28"/>
      <c r="Q148" s="28"/>
    </row>
    <row r="149" spans="1:19" ht="15" customHeight="1" x14ac:dyDescent="0.2">
      <c r="A149" s="28"/>
      <c r="B149" s="229"/>
      <c r="C149" s="351"/>
      <c r="D149" s="351"/>
      <c r="E149" s="351"/>
      <c r="F149" s="351"/>
      <c r="G149" s="351"/>
      <c r="H149" s="351"/>
      <c r="I149" s="351"/>
      <c r="J149" s="351"/>
      <c r="K149" s="351"/>
      <c r="L149" s="351"/>
      <c r="M149" s="229"/>
      <c r="P149" s="274"/>
      <c r="Q149" s="28"/>
    </row>
    <row r="150" spans="1:19" ht="15" customHeight="1" x14ac:dyDescent="0.2">
      <c r="A150" s="28"/>
      <c r="B150" s="236"/>
      <c r="C150" s="236"/>
      <c r="D150" s="236"/>
      <c r="E150" s="236"/>
      <c r="F150" s="236"/>
      <c r="G150" s="236"/>
      <c r="H150" s="236"/>
      <c r="I150" s="236"/>
      <c r="J150" s="236"/>
      <c r="K150" s="236"/>
      <c r="L150" s="236"/>
      <c r="M150" s="236"/>
      <c r="N150" s="236"/>
      <c r="O150" s="236"/>
      <c r="P150" s="29"/>
      <c r="Q150" s="29"/>
      <c r="R150" s="29"/>
      <c r="S150" s="29"/>
    </row>
    <row r="151" spans="1:19" ht="50.45" customHeight="1" x14ac:dyDescent="0.2">
      <c r="B151" s="419" t="s">
        <v>50</v>
      </c>
      <c r="C151" s="419"/>
      <c r="D151" s="419"/>
      <c r="E151" s="419"/>
      <c r="F151" s="419"/>
      <c r="G151" s="419"/>
      <c r="H151" s="419"/>
      <c r="I151" s="419"/>
      <c r="J151" s="419"/>
      <c r="K151" s="419"/>
      <c r="L151" s="419"/>
      <c r="M151" s="419"/>
      <c r="N151" s="364"/>
      <c r="O151" s="364"/>
      <c r="Q151" s="29"/>
      <c r="R151" s="29"/>
      <c r="S151" s="29"/>
    </row>
    <row r="152" spans="1:19" ht="50.45" customHeight="1" x14ac:dyDescent="0.2">
      <c r="B152" s="420" t="s">
        <v>51</v>
      </c>
      <c r="C152" s="420"/>
      <c r="D152" s="420"/>
      <c r="E152" s="420"/>
      <c r="F152" s="420"/>
      <c r="G152" s="420"/>
      <c r="H152" s="420"/>
      <c r="I152" s="420"/>
      <c r="J152" s="420"/>
      <c r="K152" s="420"/>
      <c r="L152" s="420"/>
      <c r="M152" s="420"/>
      <c r="N152" s="198"/>
      <c r="O152" s="198"/>
      <c r="Q152" s="29"/>
      <c r="R152" s="29"/>
      <c r="S152" s="29"/>
    </row>
    <row r="153" spans="1:19" ht="210.75" customHeight="1" x14ac:dyDescent="0.2">
      <c r="Q153" s="29"/>
      <c r="R153" s="29"/>
      <c r="S153" s="29"/>
    </row>
    <row r="154" spans="1:19" ht="15" customHeight="1" x14ac:dyDescent="0.2">
      <c r="Q154" s="29"/>
      <c r="R154" s="29"/>
      <c r="S154" s="29"/>
    </row>
    <row r="155" spans="1:19" ht="15" customHeight="1" x14ac:dyDescent="0.2">
      <c r="Q155" s="29"/>
      <c r="R155" s="29"/>
      <c r="S155" s="29"/>
    </row>
    <row r="156" spans="1:19" ht="26.25" customHeight="1" x14ac:dyDescent="0.2"/>
    <row r="157" spans="1:19" ht="28.5" customHeight="1" x14ac:dyDescent="0.2"/>
  </sheetData>
  <sheetProtection algorithmName="SHA-512" hashValue="Y5luESIPJhxQXMqaUvpfaeOYw7o2ZXQrhim9k5VheBGewmv5HNWY/ejD2KgMpmtyDOMSXJa7ZmWvEMs3juU8Ew==" saltValue="zViiUp8LmB4MN3w/puUC6w==" spinCount="100000" sheet="1" selectLockedCells="1"/>
  <mergeCells count="46">
    <mergeCell ref="O132:O133"/>
    <mergeCell ref="O47:O48"/>
    <mergeCell ref="H97:I97"/>
    <mergeCell ref="O103:O104"/>
    <mergeCell ref="C65:K65"/>
    <mergeCell ref="C52:G52"/>
    <mergeCell ref="H52:I52"/>
    <mergeCell ref="C56:K56"/>
    <mergeCell ref="C59:F64"/>
    <mergeCell ref="H59:K64"/>
    <mergeCell ref="C142:F147"/>
    <mergeCell ref="H142:K147"/>
    <mergeCell ref="C110:K110"/>
    <mergeCell ref="C113:F118"/>
    <mergeCell ref="H95:I95"/>
    <mergeCell ref="H124:I124"/>
    <mergeCell ref="C95:F95"/>
    <mergeCell ref="C124:F125"/>
    <mergeCell ref="H126:I126"/>
    <mergeCell ref="H39:I39"/>
    <mergeCell ref="H43:I43"/>
    <mergeCell ref="H48:I48"/>
    <mergeCell ref="F50:L50"/>
    <mergeCell ref="H46:I46"/>
    <mergeCell ref="H41:I41"/>
    <mergeCell ref="B152:M152"/>
    <mergeCell ref="B151:M151"/>
    <mergeCell ref="H99:I99"/>
    <mergeCell ref="H104:I104"/>
    <mergeCell ref="C148:K148"/>
    <mergeCell ref="H106:I106"/>
    <mergeCell ref="C106:G106"/>
    <mergeCell ref="H102:I102"/>
    <mergeCell ref="H113:K118"/>
    <mergeCell ref="H133:I133"/>
    <mergeCell ref="H131:I131"/>
    <mergeCell ref="C119:K119"/>
    <mergeCell ref="C139:K139"/>
    <mergeCell ref="C135:G135"/>
    <mergeCell ref="H135:I135"/>
    <mergeCell ref="H128:I128"/>
    <mergeCell ref="F15:F16"/>
    <mergeCell ref="C15:C16"/>
    <mergeCell ref="K15:L16"/>
    <mergeCell ref="C29:C30"/>
    <mergeCell ref="C13:L13"/>
  </mergeCells>
  <phoneticPr fontId="42" type="noConversion"/>
  <dataValidations count="1">
    <dataValidation type="custom" allowBlank="1" showInputMessage="1" showErrorMessage="1" error="Veuillez svp indiquez une seule valeur pour la surface." sqref="I11:I12" xr:uid="{52429272-1427-42E3-9B96-A5803C33E528}">
      <formula1>ISBLANK(#REF!)</formula1>
    </dataValidation>
  </dataValidations>
  <pageMargins left="0.70866141732283472" right="0.70866141732283472" top="0.74803149606299213" bottom="0.74803149606299213" header="0.31496062992125984" footer="0.31496062992125984"/>
  <pageSetup scale="44" fitToHeight="3" orientation="portrait" r:id="rId1"/>
  <headerFooter>
    <oddFooter>&amp;C&amp;F&amp;R&amp;D</oddFooter>
  </headerFooter>
  <rowBreaks count="1" manualBreakCount="1">
    <brk id="87" max="13" man="1"/>
  </rowBreaks>
  <customProperties>
    <customPr name="_pios_id" r:id="rId2"/>
  </customProperties>
  <drawing r:id="rId3"/>
  <extLst>
    <ext xmlns:x14="http://schemas.microsoft.com/office/spreadsheetml/2009/9/main" uri="{CCE6A557-97BC-4b89-ADB6-D9C93CAAB3DF}">
      <x14:dataValidations xmlns:xm="http://schemas.microsoft.com/office/excel/2006/main" count="11">
        <x14:dataValidation type="list" allowBlank="1" showInputMessage="1" showErrorMessage="1" xr:uid="{884918CA-50E7-4566-98E7-F252FAF576C5}">
          <x14:formula1>
            <xm:f>Contrôle!$U$3:$U$5</xm:f>
          </x14:formula1>
          <xm:sqref>F50</xm:sqref>
        </x14:dataValidation>
        <x14:dataValidation type="list" allowBlank="1" showInputMessage="1" showErrorMessage="1" xr:uid="{A5E278A6-079F-4CDB-BBDA-FF624BF275F6}">
          <x14:formula1>
            <xm:f>Contrôle!$R$3:$R$4</xm:f>
          </x14:formula1>
          <xm:sqref>F17:F20</xm:sqref>
        </x14:dataValidation>
        <x14:dataValidation type="list" allowBlank="1" showInputMessage="1" showErrorMessage="1" xr:uid="{6D3FEE96-5F7D-42A5-9906-A1E09B81E0B8}">
          <x14:formula1>
            <xm:f>Contrôle!$C$8:$C$10</xm:f>
          </x14:formula1>
          <xm:sqref>F31:F34</xm:sqref>
        </x14:dataValidation>
        <x14:dataValidation type="list" allowBlank="1" showInputMessage="1" showErrorMessage="1" xr:uid="{DF24EB6A-C1BF-42BF-8C81-690306BF126A}">
          <x14:formula1>
            <xm:f>Contrôle!$C$5:$C$7</xm:f>
          </x14:formula1>
          <xm:sqref>D31:D34</xm:sqref>
        </x14:dataValidation>
        <x14:dataValidation type="list" allowBlank="1" showInputMessage="1" showErrorMessage="1" xr:uid="{125F6E9F-29F6-4717-8425-4E26BC30715D}">
          <x14:formula1>
            <xm:f>Contrôle!$C$3:$C$4</xm:f>
          </x14:formula1>
          <xm:sqref>E31:E34</xm:sqref>
        </x14:dataValidation>
        <x14:dataValidation type="list" allowBlank="1" showInputMessage="1" showErrorMessage="1" xr:uid="{436866AA-AF45-41D4-932E-3CEF0BF76250}">
          <x14:formula1>
            <xm:f>Contrôle!$C$11:$C$13</xm:f>
          </x14:formula1>
          <xm:sqref>G31:G34</xm:sqref>
        </x14:dataValidation>
        <x14:dataValidation type="list" allowBlank="1" showInputMessage="1" showErrorMessage="1" xr:uid="{6F7725BE-173B-4D6C-BF8B-81004B574484}">
          <x14:formula1>
            <xm:f>Contrôle!$C$14:$C$15</xm:f>
          </x14:formula1>
          <xm:sqref>H31:H34</xm:sqref>
        </x14:dataValidation>
        <x14:dataValidation type="list" allowBlank="1" showInputMessage="1" showErrorMessage="1" xr:uid="{F36FE018-380A-44C1-816E-50C04F699FCA}">
          <x14:formula1>
            <xm:f>Contrôle!$C$16:$C$17</xm:f>
          </x14:formula1>
          <xm:sqref>I31:I34</xm:sqref>
        </x14:dataValidation>
        <x14:dataValidation type="list" allowBlank="1" showInputMessage="1" showErrorMessage="1" xr:uid="{717651DB-DB87-4DA2-BEC7-02ABDCCA3F87}">
          <x14:formula1>
            <xm:f>Contrôle!$W$3:$W$4</xm:f>
          </x14:formula1>
          <xm:sqref>H8 J39 J95 J124</xm:sqref>
        </x14:dataValidation>
        <x14:dataValidation type="list" allowBlank="1" showInputMessage="1" showErrorMessage="1" xr:uid="{110B38DB-4FB9-4F64-8D2D-7A0108DA7867}">
          <x14:formula1>
            <xm:f>Contrôle!$Y$3:$Y$5</xm:f>
          </x14:formula1>
          <xm:sqref>H10</xm:sqref>
        </x14:dataValidation>
        <x14:dataValidation type="list" allowBlank="1" showInputMessage="1" showErrorMessage="1" xr:uid="{7B4367DE-6529-418C-AC2E-AEBD5C186DC9}">
          <x14:formula1>
            <xm:f>Contrôle!$AD$3:$AD$4</xm:f>
          </x14:formula1>
          <xm:sqref>H43 H99 H128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9ECEE-A7E9-49B5-AE2F-FA3D9896AFC5}">
  <dimension ref="A2:N51"/>
  <sheetViews>
    <sheetView showGridLines="0" zoomScaleNormal="100" zoomScaleSheetLayoutView="100" workbookViewId="0">
      <selection activeCell="E15" sqref="E15"/>
    </sheetView>
  </sheetViews>
  <sheetFormatPr baseColWidth="10" defaultColWidth="11" defaultRowHeight="14.25" x14ac:dyDescent="0.2"/>
  <cols>
    <col min="1" max="1" width="2.625" customWidth="1"/>
    <col min="2" max="2" width="2.875" customWidth="1"/>
    <col min="3" max="3" width="27.375" customWidth="1"/>
    <col min="4" max="4" width="29.625" customWidth="1"/>
    <col min="5" max="5" width="24.625" customWidth="1"/>
    <col min="6" max="6" width="20.5" customWidth="1"/>
    <col min="7" max="7" width="20" customWidth="1"/>
    <col min="8" max="8" width="24.625" customWidth="1"/>
    <col min="10" max="10" width="11.875" customWidth="1"/>
  </cols>
  <sheetData>
    <row r="2" spans="1:10" ht="24.6" customHeight="1" x14ac:dyDescent="0.3">
      <c r="C2" s="201" t="s">
        <v>0</v>
      </c>
    </row>
    <row r="3" spans="1:10" ht="25.5" customHeight="1" x14ac:dyDescent="0.25">
      <c r="C3" s="204" t="s">
        <v>1</v>
      </c>
    </row>
    <row r="4" spans="1:10" ht="24.6" customHeight="1" x14ac:dyDescent="0.2">
      <c r="C4" s="205" t="s">
        <v>2</v>
      </c>
    </row>
    <row r="6" spans="1:10" x14ac:dyDescent="0.2">
      <c r="A6" s="25"/>
      <c r="B6" s="209"/>
      <c r="C6" s="210" t="s">
        <v>105</v>
      </c>
      <c r="D6" s="209"/>
      <c r="E6" s="209"/>
      <c r="F6" s="209"/>
      <c r="G6" s="209"/>
      <c r="H6" s="209"/>
      <c r="I6" s="209"/>
      <c r="J6" s="25"/>
    </row>
    <row r="7" spans="1:10" x14ac:dyDescent="0.2">
      <c r="A7" s="25"/>
      <c r="B7" s="215"/>
      <c r="C7" s="348"/>
      <c r="D7" s="348"/>
      <c r="E7" s="348"/>
      <c r="F7" s="348"/>
      <c r="G7" s="348"/>
      <c r="H7" s="348"/>
      <c r="I7" s="348"/>
      <c r="J7" s="25"/>
    </row>
    <row r="8" spans="1:10" x14ac:dyDescent="0.2">
      <c r="A8" s="25"/>
      <c r="B8" s="215"/>
      <c r="C8" s="275" t="s">
        <v>106</v>
      </c>
      <c r="D8" s="348"/>
      <c r="E8" s="348"/>
      <c r="F8" s="348"/>
      <c r="G8" s="348"/>
      <c r="H8" s="348"/>
      <c r="I8" s="348"/>
      <c r="J8" s="25"/>
    </row>
    <row r="9" spans="1:10" x14ac:dyDescent="0.2">
      <c r="A9" s="25"/>
      <c r="B9" s="215"/>
      <c r="C9" s="348"/>
      <c r="D9" s="348"/>
      <c r="E9" s="348"/>
      <c r="F9" s="348"/>
      <c r="G9" s="348"/>
      <c r="H9" s="348"/>
      <c r="I9" s="348"/>
      <c r="J9" s="25"/>
    </row>
    <row r="10" spans="1:10" ht="50.25" customHeight="1" thickBot="1" x14ac:dyDescent="0.25">
      <c r="A10" s="25"/>
      <c r="B10" s="215"/>
      <c r="C10" s="354" t="s">
        <v>107</v>
      </c>
      <c r="D10" s="355" t="s">
        <v>108</v>
      </c>
      <c r="E10" s="355" t="s">
        <v>109</v>
      </c>
      <c r="F10" s="355" t="s">
        <v>110</v>
      </c>
      <c r="G10" s="355" t="s">
        <v>111</v>
      </c>
      <c r="H10" s="356" t="s">
        <v>112</v>
      </c>
      <c r="I10" s="348"/>
      <c r="J10" s="25"/>
    </row>
    <row r="11" spans="1:10" s="135" customFormat="1" ht="21.6" customHeight="1" x14ac:dyDescent="0.2">
      <c r="A11" s="203"/>
      <c r="B11" s="276"/>
      <c r="C11" s="295"/>
      <c r="D11" s="296"/>
      <c r="E11" s="296"/>
      <c r="F11" s="297"/>
      <c r="G11" s="298"/>
      <c r="H11" s="277">
        <f>T_factures[[#This Row],[Total costs of bill
(before taxes)]]*T_factures[[#This Row],[% of costs of bill related to the measure]]</f>
        <v>0</v>
      </c>
      <c r="I11" s="348"/>
      <c r="J11" s="203"/>
    </row>
    <row r="12" spans="1:10" s="135" customFormat="1" ht="21.6" customHeight="1" x14ac:dyDescent="0.2">
      <c r="A12" s="203"/>
      <c r="B12" s="276"/>
      <c r="C12" s="299"/>
      <c r="D12" s="300"/>
      <c r="E12" s="300"/>
      <c r="F12" s="301"/>
      <c r="G12" s="302"/>
      <c r="H12" s="278">
        <f>T_factures[[#This Row],[Total costs of bill
(before taxes)]]*T_factures[[#This Row],[% of costs of bill related to the measure]]</f>
        <v>0</v>
      </c>
      <c r="I12" s="348"/>
      <c r="J12" s="203"/>
    </row>
    <row r="13" spans="1:10" ht="21.6" customHeight="1" x14ac:dyDescent="0.2">
      <c r="A13" s="25"/>
      <c r="B13" s="215"/>
      <c r="C13" s="299"/>
      <c r="D13" s="300"/>
      <c r="E13" s="300"/>
      <c r="F13" s="301"/>
      <c r="G13" s="302"/>
      <c r="H13" s="278">
        <f>T_factures[[#This Row],[Total costs of bill
(before taxes)]]*T_factures[[#This Row],[% of costs of bill related to the measure]]</f>
        <v>0</v>
      </c>
      <c r="I13" s="348"/>
      <c r="J13" s="25"/>
    </row>
    <row r="14" spans="1:10" ht="21.6" customHeight="1" x14ac:dyDescent="0.2">
      <c r="A14" s="25"/>
      <c r="B14" s="215"/>
      <c r="C14" s="299"/>
      <c r="D14" s="300"/>
      <c r="E14" s="300"/>
      <c r="F14" s="301"/>
      <c r="G14" s="302"/>
      <c r="H14" s="278">
        <f>T_factures[[#This Row],[Total costs of bill
(before taxes)]]*T_factures[[#This Row],[% of costs of bill related to the measure]]</f>
        <v>0</v>
      </c>
      <c r="I14" s="348"/>
      <c r="J14" s="25"/>
    </row>
    <row r="15" spans="1:10" ht="21.6" customHeight="1" x14ac:dyDescent="0.2">
      <c r="A15" s="25"/>
      <c r="B15" s="215"/>
      <c r="C15" s="299"/>
      <c r="D15" s="300"/>
      <c r="E15" s="300"/>
      <c r="F15" s="301"/>
      <c r="G15" s="302"/>
      <c r="H15" s="278">
        <f>T_factures[[#This Row],[Total costs of bill
(before taxes)]]*T_factures[[#This Row],[% of costs of bill related to the measure]]</f>
        <v>0</v>
      </c>
      <c r="I15" s="348"/>
      <c r="J15" s="25"/>
    </row>
    <row r="16" spans="1:10" ht="21.6" customHeight="1" x14ac:dyDescent="0.2">
      <c r="A16" s="25"/>
      <c r="B16" s="215"/>
      <c r="C16" s="299"/>
      <c r="D16" s="300"/>
      <c r="E16" s="300"/>
      <c r="F16" s="301"/>
      <c r="G16" s="302"/>
      <c r="H16" s="278">
        <f>T_factures[[#This Row],[Total costs of bill
(before taxes)]]*T_factures[[#This Row],[% of costs of bill related to the measure]]</f>
        <v>0</v>
      </c>
      <c r="I16" s="348"/>
      <c r="J16" s="25"/>
    </row>
    <row r="17" spans="1:10" ht="21.6" customHeight="1" x14ac:dyDescent="0.2">
      <c r="A17" s="25"/>
      <c r="B17" s="215"/>
      <c r="C17" s="299"/>
      <c r="D17" s="300"/>
      <c r="E17" s="300"/>
      <c r="F17" s="301"/>
      <c r="G17" s="302"/>
      <c r="H17" s="278">
        <f>T_factures[[#This Row],[Total costs of bill
(before taxes)]]*T_factures[[#This Row],[% of costs of bill related to the measure]]</f>
        <v>0</v>
      </c>
      <c r="I17" s="348"/>
      <c r="J17" s="25"/>
    </row>
    <row r="18" spans="1:10" ht="21.6" customHeight="1" x14ac:dyDescent="0.2">
      <c r="A18" s="25"/>
      <c r="B18" s="215"/>
      <c r="C18" s="299"/>
      <c r="D18" s="300"/>
      <c r="E18" s="300"/>
      <c r="F18" s="301"/>
      <c r="G18" s="302"/>
      <c r="H18" s="278">
        <f>T_factures[[#This Row],[Total costs of bill
(before taxes)]]*T_factures[[#This Row],[% of costs of bill related to the measure]]</f>
        <v>0</v>
      </c>
      <c r="I18" s="348"/>
      <c r="J18" s="25"/>
    </row>
    <row r="19" spans="1:10" ht="21.6" customHeight="1" x14ac:dyDescent="0.2">
      <c r="A19" s="25"/>
      <c r="B19" s="215"/>
      <c r="C19" s="299"/>
      <c r="D19" s="300"/>
      <c r="E19" s="300"/>
      <c r="F19" s="301"/>
      <c r="G19" s="302"/>
      <c r="H19" s="278">
        <f>T_factures[[#This Row],[Total costs of bill
(before taxes)]]*T_factures[[#This Row],[% of costs of bill related to the measure]]</f>
        <v>0</v>
      </c>
      <c r="I19" s="348"/>
      <c r="J19" s="25"/>
    </row>
    <row r="20" spans="1:10" ht="21.6" customHeight="1" x14ac:dyDescent="0.2">
      <c r="A20" s="25"/>
      <c r="B20" s="215"/>
      <c r="C20" s="299"/>
      <c r="D20" s="300"/>
      <c r="E20" s="300"/>
      <c r="F20" s="301"/>
      <c r="G20" s="302"/>
      <c r="H20" s="278">
        <f>T_factures[[#This Row],[Total costs of bill
(before taxes)]]*T_factures[[#This Row],[% of costs of bill related to the measure]]</f>
        <v>0</v>
      </c>
      <c r="I20" s="348"/>
      <c r="J20" s="25"/>
    </row>
    <row r="21" spans="1:10" ht="21.6" customHeight="1" x14ac:dyDescent="0.2">
      <c r="A21" s="25"/>
      <c r="B21" s="215"/>
      <c r="C21" s="299"/>
      <c r="D21" s="300"/>
      <c r="E21" s="300"/>
      <c r="F21" s="301"/>
      <c r="G21" s="302"/>
      <c r="H21" s="278">
        <f>T_factures[[#This Row],[Total costs of bill
(before taxes)]]*T_factures[[#This Row],[% of costs of bill related to the measure]]</f>
        <v>0</v>
      </c>
      <c r="I21" s="348"/>
      <c r="J21" s="25"/>
    </row>
    <row r="22" spans="1:10" ht="21.6" customHeight="1" x14ac:dyDescent="0.2">
      <c r="A22" s="25"/>
      <c r="B22" s="215"/>
      <c r="C22" s="299"/>
      <c r="D22" s="300"/>
      <c r="E22" s="300"/>
      <c r="F22" s="301"/>
      <c r="G22" s="302"/>
      <c r="H22" s="278">
        <f>T_factures[[#This Row],[Total costs of bill
(before taxes)]]*T_factures[[#This Row],[% of costs of bill related to the measure]]</f>
        <v>0</v>
      </c>
      <c r="I22" s="348"/>
      <c r="J22" s="25"/>
    </row>
    <row r="23" spans="1:10" ht="21.6" customHeight="1" x14ac:dyDescent="0.2">
      <c r="A23" s="25"/>
      <c r="B23" s="215"/>
      <c r="C23" s="299"/>
      <c r="D23" s="300"/>
      <c r="E23" s="300"/>
      <c r="F23" s="301"/>
      <c r="G23" s="302"/>
      <c r="H23" s="278">
        <f>T_factures[[#This Row],[Total costs of bill
(before taxes)]]*T_factures[[#This Row],[% of costs of bill related to the measure]]</f>
        <v>0</v>
      </c>
      <c r="I23" s="348"/>
      <c r="J23" s="25"/>
    </row>
    <row r="24" spans="1:10" ht="21.6" customHeight="1" x14ac:dyDescent="0.2">
      <c r="A24" s="25"/>
      <c r="B24" s="215"/>
      <c r="C24" s="299"/>
      <c r="D24" s="300"/>
      <c r="E24" s="300"/>
      <c r="F24" s="301"/>
      <c r="G24" s="302"/>
      <c r="H24" s="278">
        <f>T_factures[[#This Row],[Total costs of bill
(before taxes)]]*T_factures[[#This Row],[% of costs of bill related to the measure]]</f>
        <v>0</v>
      </c>
      <c r="I24" s="348"/>
      <c r="J24" s="25"/>
    </row>
    <row r="25" spans="1:10" ht="21.6" customHeight="1" x14ac:dyDescent="0.2">
      <c r="A25" s="25"/>
      <c r="B25" s="215"/>
      <c r="C25" s="299"/>
      <c r="D25" s="300"/>
      <c r="E25" s="300"/>
      <c r="F25" s="301"/>
      <c r="G25" s="302"/>
      <c r="H25" s="278">
        <f>T_factures[[#This Row],[Total costs of bill
(before taxes)]]*T_factures[[#This Row],[% of costs of bill related to the measure]]</f>
        <v>0</v>
      </c>
      <c r="I25" s="348"/>
      <c r="J25" s="25"/>
    </row>
    <row r="26" spans="1:10" ht="21.6" customHeight="1" x14ac:dyDescent="0.2">
      <c r="A26" s="25"/>
      <c r="B26" s="215"/>
      <c r="C26" s="299"/>
      <c r="D26" s="300"/>
      <c r="E26" s="300"/>
      <c r="F26" s="301"/>
      <c r="G26" s="302"/>
      <c r="H26" s="278">
        <f>T_factures[[#This Row],[Total costs of bill
(before taxes)]]*T_factures[[#This Row],[% of costs of bill related to the measure]]</f>
        <v>0</v>
      </c>
      <c r="I26" s="348"/>
      <c r="J26" s="25"/>
    </row>
    <row r="27" spans="1:10" ht="21.6" customHeight="1" x14ac:dyDescent="0.2">
      <c r="A27" s="25"/>
      <c r="B27" s="215"/>
      <c r="C27" s="299"/>
      <c r="D27" s="300"/>
      <c r="E27" s="300"/>
      <c r="F27" s="301"/>
      <c r="G27" s="302"/>
      <c r="H27" s="278">
        <f>T_factures[[#This Row],[Total costs of bill
(before taxes)]]*T_factures[[#This Row],[% of costs of bill related to the measure]]</f>
        <v>0</v>
      </c>
      <c r="I27" s="348"/>
      <c r="J27" s="25"/>
    </row>
    <row r="28" spans="1:10" ht="21.6" customHeight="1" x14ac:dyDescent="0.2">
      <c r="A28" s="25"/>
      <c r="B28" s="215"/>
      <c r="C28" s="299"/>
      <c r="D28" s="300"/>
      <c r="E28" s="300"/>
      <c r="F28" s="301"/>
      <c r="G28" s="302"/>
      <c r="H28" s="278">
        <f>T_factures[[#This Row],[Total costs of bill
(before taxes)]]*T_factures[[#This Row],[% of costs of bill related to the measure]]</f>
        <v>0</v>
      </c>
      <c r="I28" s="348"/>
      <c r="J28" s="25"/>
    </row>
    <row r="29" spans="1:10" ht="21.6" customHeight="1" x14ac:dyDescent="0.2">
      <c r="A29" s="25"/>
      <c r="B29" s="215"/>
      <c r="C29" s="299"/>
      <c r="D29" s="300"/>
      <c r="E29" s="300"/>
      <c r="F29" s="301"/>
      <c r="G29" s="302"/>
      <c r="H29" s="278">
        <f>T_factures[[#This Row],[Total costs of bill
(before taxes)]]*T_factures[[#This Row],[% of costs of bill related to the measure]]</f>
        <v>0</v>
      </c>
      <c r="I29" s="348"/>
      <c r="J29" s="25"/>
    </row>
    <row r="30" spans="1:10" ht="21.6" customHeight="1" x14ac:dyDescent="0.2">
      <c r="A30" s="25"/>
      <c r="B30" s="215"/>
      <c r="C30" s="299"/>
      <c r="D30" s="300"/>
      <c r="E30" s="300"/>
      <c r="F30" s="301"/>
      <c r="G30" s="302"/>
      <c r="H30" s="278">
        <f>T_factures[[#This Row],[Total costs of bill
(before taxes)]]*T_factures[[#This Row],[% of costs of bill related to the measure]]</f>
        <v>0</v>
      </c>
      <c r="I30" s="348"/>
      <c r="J30" s="25"/>
    </row>
    <row r="31" spans="1:10" ht="21.6" customHeight="1" x14ac:dyDescent="0.2">
      <c r="A31" s="25"/>
      <c r="B31" s="215"/>
      <c r="C31" s="299"/>
      <c r="D31" s="300"/>
      <c r="E31" s="300"/>
      <c r="F31" s="301"/>
      <c r="G31" s="302"/>
      <c r="H31" s="278">
        <f>T_factures[[#This Row],[Total costs of bill
(before taxes)]]*T_factures[[#This Row],[% of costs of bill related to the measure]]</f>
        <v>0</v>
      </c>
      <c r="I31" s="348"/>
      <c r="J31" s="25"/>
    </row>
    <row r="32" spans="1:10" ht="21.6" customHeight="1" x14ac:dyDescent="0.2">
      <c r="A32" s="25"/>
      <c r="B32" s="215"/>
      <c r="C32" s="299"/>
      <c r="D32" s="300"/>
      <c r="E32" s="300"/>
      <c r="F32" s="301"/>
      <c r="G32" s="302"/>
      <c r="H32" s="278">
        <f>T_factures[[#This Row],[Total costs of bill
(before taxes)]]*T_factures[[#This Row],[% of costs of bill related to the measure]]</f>
        <v>0</v>
      </c>
      <c r="I32" s="348"/>
      <c r="J32" s="25"/>
    </row>
    <row r="33" spans="1:14" ht="21.6" customHeight="1" x14ac:dyDescent="0.2">
      <c r="A33" s="25"/>
      <c r="B33" s="215"/>
      <c r="C33" s="299"/>
      <c r="D33" s="300"/>
      <c r="E33" s="300"/>
      <c r="F33" s="301"/>
      <c r="G33" s="302"/>
      <c r="H33" s="278">
        <f>T_factures[[#This Row],[Total costs of bill
(before taxes)]]*T_factures[[#This Row],[% of costs of bill related to the measure]]</f>
        <v>0</v>
      </c>
      <c r="I33" s="348"/>
      <c r="J33" s="25"/>
    </row>
    <row r="34" spans="1:14" ht="21.6" customHeight="1" thickBot="1" x14ac:dyDescent="0.25">
      <c r="A34" s="25"/>
      <c r="B34" s="215"/>
      <c r="C34" s="303"/>
      <c r="D34" s="304"/>
      <c r="E34" s="304"/>
      <c r="F34" s="305"/>
      <c r="G34" s="306"/>
      <c r="H34" s="279">
        <f>T_factures[[#This Row],[Total costs of bill
(before taxes)]]*T_factures[[#This Row],[% of costs of bill related to the measure]]</f>
        <v>0</v>
      </c>
      <c r="I34" s="348"/>
      <c r="J34" s="25"/>
    </row>
    <row r="35" spans="1:14" x14ac:dyDescent="0.2">
      <c r="A35" s="25"/>
      <c r="B35" s="215"/>
      <c r="C35" s="348"/>
      <c r="D35" s="348"/>
      <c r="E35" s="348"/>
      <c r="F35" s="348"/>
      <c r="G35" s="348"/>
      <c r="H35" s="348"/>
      <c r="I35" s="348"/>
      <c r="J35" s="25"/>
    </row>
    <row r="36" spans="1:14" ht="30.6" customHeight="1" x14ac:dyDescent="0.2">
      <c r="A36" s="25"/>
      <c r="B36" s="215"/>
      <c r="C36" s="275" t="s">
        <v>113</v>
      </c>
      <c r="D36" s="348"/>
      <c r="E36" s="348"/>
      <c r="F36" s="348"/>
      <c r="G36" s="348"/>
      <c r="H36" s="348"/>
      <c r="I36" s="348"/>
      <c r="J36" s="25"/>
    </row>
    <row r="37" spans="1:14" ht="42" customHeight="1" x14ac:dyDescent="0.2">
      <c r="A37" s="25"/>
      <c r="B37" s="215"/>
      <c r="C37" s="354" t="s">
        <v>107</v>
      </c>
      <c r="D37" s="355" t="s">
        <v>108</v>
      </c>
      <c r="E37" s="355" t="s">
        <v>112</v>
      </c>
      <c r="F37" s="355" t="s">
        <v>114</v>
      </c>
      <c r="G37" s="356" t="s">
        <v>115</v>
      </c>
      <c r="H37" s="348"/>
      <c r="I37" s="348"/>
      <c r="J37" s="25"/>
    </row>
    <row r="38" spans="1:14" ht="21.95" customHeight="1" x14ac:dyDescent="0.2">
      <c r="A38" s="25"/>
      <c r="B38" s="215"/>
      <c r="C38" s="280" t="s">
        <v>46</v>
      </c>
      <c r="D38" s="281">
        <f>COUNTIFS(T_factures[Measure],"=" &amp;Bilan_factures[[#This Row],[Measure]],T_factures[Costs related to the measure],"&gt;0")</f>
        <v>0</v>
      </c>
      <c r="E38" s="282">
        <f>SUMIF(T_factures[Measure],"="&amp;Bilan_factures[[#This Row],[Measure]],T_factures[Costs related to the measure])</f>
        <v>0</v>
      </c>
      <c r="F38" s="283">
        <f>IFERROR(VLOOKUP(Bilan_factures[[#This Row],[Measure]],Contrôle!$AH$3:$AI$7,2,FALSE),0)</f>
        <v>0.1</v>
      </c>
      <c r="G38" s="284">
        <f>Bilan_factures[[#This Row],[Costs related to the measure]]*Bilan_factures[[#This Row],[% of eligible costs]]</f>
        <v>0</v>
      </c>
      <c r="H38" s="348"/>
      <c r="I38" s="348"/>
      <c r="J38" s="25"/>
    </row>
    <row r="39" spans="1:14" ht="21.95" customHeight="1" x14ac:dyDescent="0.2">
      <c r="A39" s="25"/>
      <c r="B39" s="215"/>
      <c r="C39" s="285" t="s">
        <v>48</v>
      </c>
      <c r="D39" s="286">
        <f>COUNTIFS(T_factures[Measure],"=" &amp;Bilan_factures[[#This Row],[Measure]],T_factures[Costs related to the measure],"&gt;0")</f>
        <v>0</v>
      </c>
      <c r="E39" s="287">
        <f>SUMIF(T_factures[Measure],"="&amp;Bilan_factures[[#This Row],[Measure]],T_factures[Costs related to the measure])</f>
        <v>0</v>
      </c>
      <c r="F39" s="288">
        <f>IFERROR(VLOOKUP(Bilan_factures[[#This Row],[Measure]],Contrôle!$AH$3:$AI$7,2,FALSE),0)</f>
        <v>1</v>
      </c>
      <c r="G39" s="289">
        <f>Bilan_factures[[#This Row],[Costs related to the measure]]*Bilan_factures[[#This Row],[% of eligible costs]]</f>
        <v>0</v>
      </c>
      <c r="H39" s="348"/>
      <c r="I39" s="348"/>
      <c r="J39" s="25"/>
    </row>
    <row r="40" spans="1:14" ht="21.95" customHeight="1" x14ac:dyDescent="0.2">
      <c r="A40" s="25"/>
      <c r="B40" s="215"/>
      <c r="C40" s="285" t="s">
        <v>47</v>
      </c>
      <c r="D40" s="286">
        <f>COUNTIFS(T_factures[Measure],"=" &amp;Bilan_factures[[#This Row],[Measure]],T_factures[Costs related to the measure],"&gt;0")</f>
        <v>0</v>
      </c>
      <c r="E40" s="287">
        <f>SUMIF(T_factures[Measure],"="&amp;Bilan_factures[[#This Row],[Measure]],T_factures[Costs related to the measure])</f>
        <v>0</v>
      </c>
      <c r="F40" s="288">
        <f>IFERROR(VLOOKUP(Bilan_factures[[#This Row],[Measure]],Contrôle!$AH$3:$AI$7,2,FALSE),0)</f>
        <v>1</v>
      </c>
      <c r="G40" s="289">
        <f>Bilan_factures[[#This Row],[Costs related to the measure]]*Bilan_factures[[#This Row],[% of eligible costs]]</f>
        <v>0</v>
      </c>
      <c r="H40" s="348"/>
      <c r="I40" s="348"/>
      <c r="J40" s="25"/>
    </row>
    <row r="41" spans="1:14" ht="21.95" customHeight="1" x14ac:dyDescent="0.2">
      <c r="A41" s="25"/>
      <c r="B41" s="215"/>
      <c r="C41" s="290" t="s">
        <v>49</v>
      </c>
      <c r="D41" s="291">
        <f>COUNTIFS(T_factures[Measure],"=" &amp;Bilan_factures[[#This Row],[Measure]],T_factures[Costs related to the measure],"&gt;0")</f>
        <v>0</v>
      </c>
      <c r="E41" s="292">
        <f>SUMIF(T_factures[Measure],"="&amp;Bilan_factures[[#This Row],[Measure]],T_factures[Costs related to the measure])</f>
        <v>0</v>
      </c>
      <c r="F41" s="293">
        <f>IFERROR(VLOOKUP(Bilan_factures[[#This Row],[Measure]],Contrôle!$AH$3:$AI$7,2,FALSE),0)</f>
        <v>1</v>
      </c>
      <c r="G41" s="294">
        <f>Bilan_factures[[#This Row],[Costs related to the measure]]*Bilan_factures[[#This Row],[% of eligible costs]]</f>
        <v>0</v>
      </c>
      <c r="H41" s="348"/>
      <c r="I41" s="348"/>
      <c r="J41" s="25"/>
    </row>
    <row r="42" spans="1:14" x14ac:dyDescent="0.2">
      <c r="A42" s="25"/>
      <c r="B42" s="215"/>
      <c r="C42" s="348"/>
      <c r="D42" s="348"/>
      <c r="E42" s="348"/>
      <c r="F42" s="348"/>
      <c r="G42" s="348"/>
      <c r="H42" s="348"/>
      <c r="I42" s="348"/>
      <c r="J42" s="25"/>
    </row>
    <row r="43" spans="1:14" x14ac:dyDescent="0.2">
      <c r="A43" s="25"/>
      <c r="B43" s="25"/>
      <c r="C43" s="25"/>
      <c r="D43" s="25"/>
      <c r="E43" s="25"/>
      <c r="F43" s="25"/>
      <c r="G43" s="25"/>
      <c r="H43" s="25"/>
      <c r="I43" s="25"/>
      <c r="J43" s="25"/>
    </row>
    <row r="44" spans="1:14" s="25" customFormat="1" ht="35.25" customHeight="1" x14ac:dyDescent="0.2">
      <c r="C44" s="419" t="s">
        <v>50</v>
      </c>
      <c r="D44" s="419"/>
      <c r="E44" s="419"/>
      <c r="F44" s="419"/>
      <c r="G44" s="419"/>
      <c r="H44" s="419"/>
      <c r="I44" s="419"/>
      <c r="J44" s="197"/>
      <c r="K44" s="197"/>
      <c r="L44" s="197"/>
      <c r="M44" s="197"/>
      <c r="N44" s="197"/>
    </row>
    <row r="45" spans="1:14" s="25" customFormat="1" ht="15" customHeight="1" x14ac:dyDescent="0.2">
      <c r="C45" s="192"/>
      <c r="D45" s="192"/>
      <c r="E45" s="192"/>
      <c r="F45" s="192"/>
      <c r="G45" s="192"/>
      <c r="H45" s="192"/>
      <c r="I45" s="192"/>
      <c r="J45" s="192"/>
    </row>
    <row r="46" spans="1:14" s="25" customFormat="1" ht="42" customHeight="1" x14ac:dyDescent="0.2">
      <c r="C46" s="420" t="s">
        <v>51</v>
      </c>
      <c r="D46" s="420"/>
      <c r="E46" s="420"/>
      <c r="F46" s="420"/>
      <c r="G46" s="420"/>
      <c r="H46" s="420"/>
      <c r="I46" s="420"/>
      <c r="J46" s="198"/>
      <c r="K46" s="198"/>
      <c r="L46" s="198"/>
      <c r="M46" s="198"/>
      <c r="N46" s="198"/>
    </row>
    <row r="47" spans="1:14" s="25" customFormat="1" ht="15" customHeight="1" x14ac:dyDescent="0.2">
      <c r="C47" s="193"/>
      <c r="D47" s="193"/>
      <c r="E47" s="193"/>
      <c r="F47" s="193"/>
      <c r="G47" s="193"/>
      <c r="H47" s="193"/>
      <c r="I47" s="192"/>
      <c r="J47" s="192"/>
    </row>
    <row r="48" spans="1:14" s="25" customFormat="1" ht="15" customHeight="1" x14ac:dyDescent="0.2">
      <c r="I48" s="193"/>
      <c r="J48" s="193"/>
    </row>
    <row r="49" spans="1:10" s="25" customFormat="1" ht="26.25" customHeight="1" x14ac:dyDescent="0.2">
      <c r="C49" s="193"/>
      <c r="D49" s="193"/>
      <c r="E49" s="193"/>
      <c r="F49" s="193"/>
      <c r="G49" s="193"/>
      <c r="H49" s="193"/>
      <c r="I49" s="193"/>
      <c r="J49" s="193"/>
    </row>
    <row r="50" spans="1:10" ht="15" x14ac:dyDescent="0.25">
      <c r="A50" s="25"/>
      <c r="B50" s="25"/>
      <c r="C50" s="25"/>
      <c r="D50" s="25"/>
      <c r="E50" s="25"/>
      <c r="F50" s="25"/>
      <c r="G50" s="25"/>
      <c r="H50" s="25"/>
      <c r="I50" s="25"/>
      <c r="J50" s="26"/>
    </row>
    <row r="51" spans="1:10" x14ac:dyDescent="0.2">
      <c r="A51" s="25"/>
      <c r="B51" s="30"/>
      <c r="C51" s="29"/>
      <c r="D51" s="29"/>
      <c r="E51" s="29"/>
      <c r="F51" s="29"/>
      <c r="G51" s="29"/>
      <c r="H51" s="29"/>
      <c r="I51" s="29"/>
      <c r="J51" s="25"/>
    </row>
  </sheetData>
  <sheetProtection password="CB3A" sheet="1" objects="1" scenarios="1" selectLockedCells="1"/>
  <mergeCells count="2">
    <mergeCell ref="C44:I44"/>
    <mergeCell ref="C46:I46"/>
  </mergeCells>
  <pageMargins left="0.7" right="0.7" top="0.75" bottom="0.75" header="0.3" footer="0.3"/>
  <pageSetup scale="50" orientation="landscape" r:id="rId1"/>
  <colBreaks count="1" manualBreakCount="1">
    <brk id="10" max="1048575" man="1"/>
  </colBreaks>
  <customProperties>
    <customPr name="_pios_id" r:id="rId2"/>
  </customProperties>
  <drawing r:id="rId3"/>
  <tableParts count="2">
    <tablePart r:id="rId4"/>
    <tablePart r:id="rId5"/>
  </tableParts>
  <extLst>
    <ext xmlns:x14="http://schemas.microsoft.com/office/spreadsheetml/2009/9/main" uri="{CCE6A557-97BC-4b89-ADB6-D9C93CAAB3DF}">
      <x14:dataValidations xmlns:xm="http://schemas.microsoft.com/office/excel/2006/main" count="1">
        <x14:dataValidation type="list" allowBlank="1" showInputMessage="1" showErrorMessage="1" xr:uid="{F35672D9-4525-4BB7-8FF3-679EDE962E3B}">
          <x14:formula1>
            <xm:f>Contrôle!$AH$3:$AH$6</xm:f>
          </x14:formula1>
          <xm:sqref>C11:C34 C38:C41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609F67-A196-41D8-9925-089A7FAEBB3B}">
  <dimension ref="A1:O77"/>
  <sheetViews>
    <sheetView showGridLines="0" showZeros="0" zoomScaleNormal="100" zoomScaleSheetLayoutView="100" workbookViewId="0">
      <selection activeCell="C39" sqref="C39:D39"/>
    </sheetView>
  </sheetViews>
  <sheetFormatPr baseColWidth="10" defaultColWidth="11.375" defaultRowHeight="14.25" x14ac:dyDescent="0.2"/>
  <cols>
    <col min="1" max="2" width="2.125" style="25" customWidth="1"/>
    <col min="3" max="3" width="11" style="25" customWidth="1"/>
    <col min="4" max="4" width="13.625" style="25" customWidth="1"/>
    <col min="5" max="5" width="15.875" style="25" customWidth="1"/>
    <col min="6" max="6" width="11" style="25" customWidth="1"/>
    <col min="7" max="7" width="13.625" style="25" customWidth="1"/>
    <col min="8" max="8" width="19.125" style="25" bestFit="1" customWidth="1"/>
    <col min="9" max="9" width="13.625" style="25" customWidth="1"/>
    <col min="10" max="10" width="2.125" style="25" customWidth="1"/>
    <col min="11" max="11" width="11.375" style="25"/>
    <col min="12" max="12" width="17.375" style="25" customWidth="1"/>
    <col min="13" max="13" width="11" style="25" customWidth="1"/>
    <col min="14" max="16384" width="11.375" style="25"/>
  </cols>
  <sheetData>
    <row r="1" spans="1:11" ht="15.75" customHeight="1" x14ac:dyDescent="0.2">
      <c r="C1" s="162"/>
      <c r="D1" s="33"/>
      <c r="E1" s="168"/>
      <c r="F1" s="168"/>
      <c r="G1" s="168"/>
      <c r="H1" s="168"/>
      <c r="I1" s="168"/>
      <c r="J1" s="168"/>
    </row>
    <row r="2" spans="1:11" ht="24.6" customHeight="1" x14ac:dyDescent="0.3">
      <c r="C2" s="201" t="s">
        <v>0</v>
      </c>
      <c r="D2" s="33"/>
      <c r="E2" s="168"/>
      <c r="F2" s="168"/>
      <c r="G2" s="168"/>
      <c r="H2" s="168"/>
      <c r="I2" s="168"/>
      <c r="J2" s="168"/>
    </row>
    <row r="3" spans="1:11" ht="24.6" customHeight="1" x14ac:dyDescent="0.25">
      <c r="C3" s="204" t="s">
        <v>1</v>
      </c>
      <c r="D3" s="33"/>
      <c r="E3" s="168"/>
      <c r="F3" s="168"/>
      <c r="G3" s="168"/>
      <c r="H3" s="168"/>
      <c r="I3" s="168"/>
      <c r="J3" s="168"/>
    </row>
    <row r="4" spans="1:11" ht="24.6" customHeight="1" x14ac:dyDescent="0.2">
      <c r="C4" s="205" t="s">
        <v>2</v>
      </c>
      <c r="D4" s="33"/>
      <c r="E4" s="168"/>
      <c r="F4" s="168"/>
      <c r="G4" s="168"/>
      <c r="H4" s="168"/>
      <c r="I4" s="168"/>
      <c r="J4" s="168"/>
    </row>
    <row r="5" spans="1:11" ht="24.95" customHeight="1" x14ac:dyDescent="0.2">
      <c r="C5" s="49"/>
      <c r="D5" s="33"/>
      <c r="E5" s="168"/>
      <c r="F5" s="168"/>
      <c r="G5" s="168"/>
      <c r="H5" s="168"/>
      <c r="I5" s="168"/>
      <c r="J5" s="168"/>
    </row>
    <row r="6" spans="1:11" ht="15" x14ac:dyDescent="0.25">
      <c r="B6" s="209"/>
      <c r="C6" s="210" t="s">
        <v>116</v>
      </c>
      <c r="D6" s="210"/>
      <c r="E6" s="209"/>
      <c r="F6" s="209"/>
      <c r="G6" s="209"/>
      <c r="H6" s="209"/>
      <c r="I6" s="209"/>
      <c r="J6" s="209"/>
      <c r="K6" s="27"/>
    </row>
    <row r="7" spans="1:11" ht="21" customHeight="1" x14ac:dyDescent="0.2">
      <c r="A7" s="330"/>
      <c r="B7" s="331"/>
      <c r="C7" s="275" t="s">
        <v>117</v>
      </c>
      <c r="D7" s="331"/>
      <c r="E7" s="331"/>
      <c r="F7" s="331"/>
      <c r="G7" s="331"/>
      <c r="H7" s="331"/>
      <c r="I7" s="331"/>
      <c r="J7" s="331"/>
    </row>
    <row r="8" spans="1:11" ht="18" customHeight="1" x14ac:dyDescent="0.2">
      <c r="A8" s="330"/>
      <c r="B8" s="331"/>
      <c r="C8" s="464" t="s">
        <v>24</v>
      </c>
      <c r="D8" s="464"/>
      <c r="E8" s="469">
        <f>'1 - General information'!E51</f>
        <v>0</v>
      </c>
      <c r="F8" s="469"/>
      <c r="G8" s="469"/>
      <c r="H8" s="332" t="s">
        <v>118</v>
      </c>
      <c r="I8" s="307">
        <f>'1 - General information'!E7</f>
        <v>0</v>
      </c>
      <c r="J8" s="331"/>
    </row>
    <row r="9" spans="1:11" ht="18" customHeight="1" x14ac:dyDescent="0.2">
      <c r="A9" s="330"/>
      <c r="B9" s="331"/>
      <c r="C9" s="473" t="s">
        <v>18</v>
      </c>
      <c r="D9" s="473"/>
      <c r="E9" s="470">
        <f>'1 - General information'!E40</f>
        <v>0</v>
      </c>
      <c r="F9" s="470"/>
      <c r="G9" s="470"/>
      <c r="H9" s="333" t="s">
        <v>19</v>
      </c>
      <c r="I9" s="308">
        <f>'1 - General information'!E42</f>
        <v>0</v>
      </c>
      <c r="J9" s="331"/>
    </row>
    <row r="10" spans="1:11" ht="18" customHeight="1" x14ac:dyDescent="0.2">
      <c r="A10" s="330"/>
      <c r="B10" s="331"/>
      <c r="C10" s="473" t="s">
        <v>20</v>
      </c>
      <c r="D10" s="473"/>
      <c r="E10" s="470">
        <f>'1 - General information'!E44</f>
        <v>0</v>
      </c>
      <c r="F10" s="470"/>
      <c r="G10" s="470"/>
      <c r="H10" s="331"/>
      <c r="I10" s="331"/>
      <c r="J10" s="331"/>
    </row>
    <row r="11" spans="1:11" ht="18" customHeight="1" x14ac:dyDescent="0.2">
      <c r="A11" s="330"/>
      <c r="B11" s="331"/>
      <c r="C11" s="473"/>
      <c r="D11" s="473"/>
      <c r="E11" s="475">
        <f>'1 - General information'!D46</f>
        <v>0</v>
      </c>
      <c r="F11" s="475"/>
      <c r="G11" s="475"/>
      <c r="H11" s="331"/>
      <c r="I11" s="331"/>
      <c r="J11" s="331"/>
    </row>
    <row r="12" spans="1:11" ht="18" customHeight="1" x14ac:dyDescent="0.2">
      <c r="A12" s="330"/>
      <c r="B12" s="331"/>
      <c r="C12" s="474"/>
      <c r="D12" s="474"/>
      <c r="E12" s="475">
        <f>'1 - General information'!I46</f>
        <v>0</v>
      </c>
      <c r="F12" s="475"/>
      <c r="G12" s="475"/>
      <c r="H12" s="331"/>
      <c r="I12" s="331"/>
      <c r="J12" s="331"/>
    </row>
    <row r="13" spans="1:11" ht="6" customHeight="1" x14ac:dyDescent="0.2">
      <c r="A13" s="330"/>
      <c r="B13" s="331"/>
      <c r="C13" s="331"/>
      <c r="D13" s="331"/>
      <c r="E13" s="331"/>
      <c r="F13" s="167"/>
      <c r="G13" s="167"/>
      <c r="H13" s="331"/>
      <c r="I13" s="331"/>
      <c r="J13" s="331"/>
    </row>
    <row r="14" spans="1:11" ht="18" customHeight="1" x14ac:dyDescent="0.2">
      <c r="A14" s="330"/>
      <c r="B14" s="331"/>
      <c r="C14" s="222" t="s">
        <v>32</v>
      </c>
      <c r="D14" s="331"/>
      <c r="E14" s="331"/>
      <c r="F14" s="167"/>
      <c r="G14" s="331"/>
      <c r="H14" s="331"/>
      <c r="I14" s="331"/>
      <c r="J14" s="331"/>
    </row>
    <row r="15" spans="1:11" ht="18" customHeight="1" x14ac:dyDescent="0.2">
      <c r="A15" s="330"/>
      <c r="B15" s="334"/>
      <c r="C15" s="464" t="s">
        <v>33</v>
      </c>
      <c r="D15" s="464"/>
      <c r="E15" s="464"/>
      <c r="F15" s="471">
        <f>'1 - General information'!E70</f>
        <v>0</v>
      </c>
      <c r="G15" s="471"/>
      <c r="H15" s="471"/>
      <c r="I15" s="471"/>
      <c r="J15" s="167"/>
    </row>
    <row r="16" spans="1:11" ht="18" customHeight="1" x14ac:dyDescent="0.2">
      <c r="A16" s="330"/>
      <c r="B16" s="334"/>
      <c r="C16" s="464" t="s">
        <v>34</v>
      </c>
      <c r="D16" s="464"/>
      <c r="E16" s="464"/>
      <c r="F16" s="472">
        <f>IF('1 - General information'!E72 = "Other",'1 - General information'!J72,'1 - General information'!E72)</f>
        <v>0</v>
      </c>
      <c r="G16" s="472"/>
      <c r="H16" s="472"/>
      <c r="I16" s="472"/>
      <c r="J16" s="167"/>
    </row>
    <row r="17" spans="1:15" ht="18" customHeight="1" x14ac:dyDescent="0.2">
      <c r="A17" s="330"/>
      <c r="B17" s="335"/>
      <c r="C17" s="473" t="s">
        <v>36</v>
      </c>
      <c r="D17" s="473"/>
      <c r="E17" s="473"/>
      <c r="F17" s="472">
        <f>IF('1 - General information'!E74 = "Other",'1 - General information'!J74,'1 - General information'!E74)</f>
        <v>0</v>
      </c>
      <c r="G17" s="472"/>
      <c r="H17" s="472"/>
      <c r="I17" s="472"/>
      <c r="J17" s="167"/>
    </row>
    <row r="18" spans="1:15" ht="29.25" customHeight="1" x14ac:dyDescent="0.2">
      <c r="A18" s="330"/>
      <c r="B18" s="334"/>
      <c r="C18" s="474" t="s">
        <v>38</v>
      </c>
      <c r="D18" s="474"/>
      <c r="E18" s="474"/>
      <c r="F18" s="336">
        <f>Calculs!E73</f>
        <v>0</v>
      </c>
      <c r="G18" s="337" t="s">
        <v>39</v>
      </c>
      <c r="H18" s="338"/>
      <c r="I18" s="338"/>
      <c r="J18" s="167"/>
    </row>
    <row r="19" spans="1:15" ht="6.6" customHeight="1" x14ac:dyDescent="0.2">
      <c r="A19" s="330"/>
      <c r="B19" s="331"/>
      <c r="C19" s="331"/>
      <c r="D19" s="331"/>
      <c r="E19" s="331"/>
      <c r="F19" s="331"/>
      <c r="G19" s="331"/>
      <c r="H19" s="331"/>
      <c r="I19" s="331"/>
      <c r="J19" s="167"/>
    </row>
    <row r="20" spans="1:15" x14ac:dyDescent="0.2">
      <c r="C20" s="166"/>
      <c r="D20" s="330"/>
      <c r="E20" s="330"/>
      <c r="F20" s="330"/>
      <c r="G20" s="330"/>
      <c r="H20" s="330"/>
      <c r="I20" s="330"/>
      <c r="J20" s="161"/>
    </row>
    <row r="21" spans="1:15" ht="15" x14ac:dyDescent="0.25">
      <c r="B21" s="209"/>
      <c r="C21" s="210" t="s">
        <v>119</v>
      </c>
      <c r="D21" s="210"/>
      <c r="E21" s="209"/>
      <c r="F21" s="209"/>
      <c r="G21" s="209"/>
      <c r="H21" s="209"/>
      <c r="I21" s="209"/>
      <c r="J21" s="209"/>
      <c r="K21" s="27"/>
    </row>
    <row r="22" spans="1:15" ht="9" customHeight="1" x14ac:dyDescent="0.2">
      <c r="B22" s="215"/>
      <c r="C22" s="163"/>
      <c r="D22" s="215"/>
      <c r="E22" s="215"/>
      <c r="F22" s="215"/>
      <c r="G22" s="215"/>
      <c r="H22" s="215"/>
      <c r="I22" s="215"/>
      <c r="J22" s="276"/>
    </row>
    <row r="23" spans="1:15" ht="18.95" customHeight="1" x14ac:dyDescent="0.2">
      <c r="B23" s="223"/>
      <c r="C23" s="339" t="s">
        <v>120</v>
      </c>
      <c r="D23" s="223"/>
      <c r="E23" s="223"/>
      <c r="F23" s="223"/>
      <c r="G23" s="223"/>
      <c r="H23" s="223"/>
      <c r="I23" s="223"/>
      <c r="J23" s="230"/>
    </row>
    <row r="24" spans="1:15" ht="42" customHeight="1" x14ac:dyDescent="0.2">
      <c r="B24" s="215"/>
      <c r="C24" s="479" t="s">
        <v>121</v>
      </c>
      <c r="D24" s="477"/>
      <c r="E24" s="355" t="s">
        <v>63</v>
      </c>
      <c r="F24" s="355" t="s">
        <v>122</v>
      </c>
      <c r="G24" s="355" t="s">
        <v>123</v>
      </c>
      <c r="H24" s="477" t="s">
        <v>124</v>
      </c>
      <c r="I24" s="478"/>
      <c r="J24" s="230"/>
      <c r="L24" s="126"/>
      <c r="M24" s="126"/>
      <c r="N24" s="126"/>
      <c r="O24" s="126"/>
    </row>
    <row r="25" spans="1:15" ht="22.5" customHeight="1" x14ac:dyDescent="0.2">
      <c r="B25" s="215"/>
      <c r="C25" s="488" t="s">
        <v>46</v>
      </c>
      <c r="D25" s="489"/>
      <c r="E25" s="309" t="str">
        <f>"nb = " &amp; 'Niveau fenêtre'!F14</f>
        <v>nb = 0</v>
      </c>
      <c r="F25" s="310">
        <f>'Niveau fenêtre'!J14</f>
        <v>0</v>
      </c>
      <c r="G25" s="311">
        <f>'3 - Summary of costs'!G38</f>
        <v>0</v>
      </c>
      <c r="H25" s="312">
        <f>30</f>
        <v>30</v>
      </c>
      <c r="I25" s="313">
        <f>IF(F18=0,0,MIN(F25*H25,Contrôle!$AK$3*G25))</f>
        <v>0</v>
      </c>
      <c r="J25" s="230"/>
      <c r="L25" s="79"/>
      <c r="M25" s="128"/>
      <c r="N25" s="128"/>
      <c r="O25" s="128"/>
    </row>
    <row r="26" spans="1:15" ht="22.5" customHeight="1" x14ac:dyDescent="0.2">
      <c r="B26" s="215"/>
      <c r="C26" s="465" t="s">
        <v>48</v>
      </c>
      <c r="D26" s="466"/>
      <c r="E26" s="314" t="str">
        <f>IF('Niveau toit'!G10 = 1,"Yes","No")</f>
        <v>No</v>
      </c>
      <c r="F26" s="315">
        <f>'Niveau toit'!J5</f>
        <v>0</v>
      </c>
      <c r="G26" s="316">
        <f>'3 - Summary of costs'!G39</f>
        <v>0</v>
      </c>
      <c r="H26" s="317">
        <v>8</v>
      </c>
      <c r="I26" s="318">
        <f>IF(F18=0,0,MIN(F26*H26,Contrôle!$AK$3*G26))</f>
        <v>0</v>
      </c>
      <c r="J26" s="230"/>
      <c r="L26" s="79"/>
      <c r="M26" s="128"/>
      <c r="N26" s="128"/>
      <c r="O26" s="126"/>
    </row>
    <row r="27" spans="1:15" ht="22.5" customHeight="1" x14ac:dyDescent="0.2">
      <c r="B27" s="215"/>
      <c r="C27" s="467" t="s">
        <v>47</v>
      </c>
      <c r="D27" s="468"/>
      <c r="E27" s="314" t="str">
        <f>IF('Niveau murs hors sol'!G9 = 1,"Yes","No")</f>
        <v>No</v>
      </c>
      <c r="F27" s="315">
        <f>'Niveau murs hors sol'!J5</f>
        <v>0</v>
      </c>
      <c r="G27" s="316">
        <f>'3 - Summary of costs'!G40</f>
        <v>0</v>
      </c>
      <c r="H27" s="317">
        <v>8</v>
      </c>
      <c r="I27" s="318">
        <f>IF(F18=0,0,MIN(F27*H27,Contrôle!$AK$3*G27))</f>
        <v>0</v>
      </c>
      <c r="J27" s="230"/>
      <c r="L27" s="79"/>
      <c r="M27" s="128"/>
      <c r="N27" s="128"/>
      <c r="O27" s="126"/>
    </row>
    <row r="28" spans="1:15" ht="22.5" customHeight="1" x14ac:dyDescent="0.2">
      <c r="B28" s="215"/>
      <c r="C28" s="495" t="s">
        <v>49</v>
      </c>
      <c r="D28" s="496"/>
      <c r="E28" s="319" t="str">
        <f>IF('Niveau murs sous-sol'!G9 = 1,"Yes","No")</f>
        <v>No</v>
      </c>
      <c r="F28" s="320">
        <f>'Niveau murs sous-sol'!J5</f>
        <v>0</v>
      </c>
      <c r="G28" s="321">
        <f>'3 - Summary of costs'!G41</f>
        <v>0</v>
      </c>
      <c r="H28" s="322">
        <v>8</v>
      </c>
      <c r="I28" s="323">
        <f>IF(F18=0,0,MIN(F28*H28,Contrôle!$AK$3*G28))</f>
        <v>0</v>
      </c>
      <c r="J28" s="230"/>
      <c r="L28" s="79"/>
      <c r="M28" s="128"/>
      <c r="N28" s="128"/>
      <c r="O28" s="126"/>
    </row>
    <row r="29" spans="1:15" ht="15.6" customHeight="1" x14ac:dyDescent="0.2">
      <c r="B29" s="215"/>
      <c r="C29" s="215"/>
      <c r="D29" s="215"/>
      <c r="E29" s="215"/>
      <c r="F29" s="215"/>
      <c r="G29" s="215"/>
      <c r="H29" s="215"/>
      <c r="I29" s="215"/>
      <c r="J29" s="230"/>
      <c r="L29" s="126"/>
      <c r="M29" s="126"/>
      <c r="N29" s="126"/>
      <c r="O29" s="126"/>
    </row>
    <row r="30" spans="1:15" ht="15.75" customHeight="1" x14ac:dyDescent="0.2">
      <c r="B30" s="215"/>
      <c r="C30" s="164" t="s">
        <v>125</v>
      </c>
      <c r="D30" s="215"/>
      <c r="E30" s="340"/>
      <c r="F30" s="164"/>
      <c r="G30" s="341"/>
      <c r="H30" s="164"/>
      <c r="I30" s="199">
        <f>MIN(SUM(I25:I28),40000)</f>
        <v>0</v>
      </c>
      <c r="J30" s="342" t="s">
        <v>126</v>
      </c>
      <c r="N30" s="150"/>
    </row>
    <row r="31" spans="1:15" ht="6.6" customHeight="1" x14ac:dyDescent="0.2">
      <c r="B31" s="215"/>
      <c r="C31" s="164"/>
      <c r="D31" s="215"/>
      <c r="E31" s="340"/>
      <c r="F31" s="164"/>
      <c r="G31" s="341"/>
      <c r="H31" s="164"/>
      <c r="I31" s="164"/>
      <c r="J31" s="342"/>
      <c r="N31" s="150"/>
    </row>
    <row r="32" spans="1:15" ht="15" customHeight="1" x14ac:dyDescent="0.2">
      <c r="B32" s="215"/>
      <c r="C32" s="500" t="s">
        <v>127</v>
      </c>
      <c r="D32" s="500"/>
      <c r="E32" s="500"/>
      <c r="F32" s="500"/>
      <c r="G32" s="500"/>
      <c r="H32" s="500"/>
      <c r="I32" s="500"/>
      <c r="J32" s="230"/>
      <c r="N32" s="150"/>
    </row>
    <row r="33" spans="2:14" ht="14.45" customHeight="1" x14ac:dyDescent="0.2">
      <c r="B33" s="215"/>
      <c r="C33" s="500"/>
      <c r="D33" s="500"/>
      <c r="E33" s="500"/>
      <c r="F33" s="500"/>
      <c r="G33" s="500"/>
      <c r="H33" s="500"/>
      <c r="I33" s="500"/>
      <c r="J33" s="230"/>
      <c r="N33" s="150"/>
    </row>
    <row r="34" spans="2:14" ht="7.5" customHeight="1" x14ac:dyDescent="0.2">
      <c r="B34" s="215"/>
      <c r="C34" s="165"/>
      <c r="D34" s="165"/>
      <c r="E34" s="165"/>
      <c r="F34" s="165"/>
      <c r="G34" s="165"/>
      <c r="H34" s="165"/>
      <c r="I34" s="342"/>
      <c r="J34" s="230"/>
      <c r="N34" s="150"/>
    </row>
    <row r="35" spans="2:14" x14ac:dyDescent="0.2">
      <c r="J35" s="343"/>
      <c r="N35" s="150"/>
    </row>
    <row r="36" spans="2:14" ht="15" customHeight="1" x14ac:dyDescent="0.25">
      <c r="B36" s="209"/>
      <c r="C36" s="210" t="s">
        <v>128</v>
      </c>
      <c r="D36" s="210"/>
      <c r="E36" s="209"/>
      <c r="F36" s="209"/>
      <c r="G36" s="209"/>
      <c r="H36" s="209"/>
      <c r="I36" s="209"/>
      <c r="J36" s="209"/>
      <c r="K36" s="27"/>
    </row>
    <row r="37" spans="2:14" ht="42.6" customHeight="1" x14ac:dyDescent="0.2">
      <c r="B37" s="211"/>
      <c r="C37" s="487" t="s">
        <v>129</v>
      </c>
      <c r="D37" s="487"/>
      <c r="E37" s="487"/>
      <c r="F37" s="487"/>
      <c r="G37" s="487"/>
      <c r="H37" s="487"/>
      <c r="I37" s="487"/>
      <c r="J37" s="342"/>
    </row>
    <row r="38" spans="2:14" ht="43.5" customHeight="1" thickBot="1" x14ac:dyDescent="0.25">
      <c r="B38" s="211"/>
      <c r="C38" s="479" t="s">
        <v>130</v>
      </c>
      <c r="D38" s="477"/>
      <c r="E38" s="477" t="s">
        <v>131</v>
      </c>
      <c r="F38" s="477"/>
      <c r="G38" s="355" t="s">
        <v>132</v>
      </c>
      <c r="H38" s="355" t="s">
        <v>133</v>
      </c>
      <c r="I38" s="356" t="s">
        <v>134</v>
      </c>
      <c r="J38" s="342"/>
    </row>
    <row r="39" spans="2:14" ht="17.45" customHeight="1" x14ac:dyDescent="0.2">
      <c r="B39" s="211"/>
      <c r="C39" s="501"/>
      <c r="D39" s="490"/>
      <c r="E39" s="490"/>
      <c r="F39" s="490"/>
      <c r="G39" s="324"/>
      <c r="H39" s="324"/>
      <c r="I39" s="325"/>
      <c r="J39" s="342"/>
    </row>
    <row r="40" spans="2:14" ht="17.45" customHeight="1" x14ac:dyDescent="0.2">
      <c r="B40" s="211"/>
      <c r="C40" s="502"/>
      <c r="D40" s="491"/>
      <c r="E40" s="491"/>
      <c r="F40" s="491"/>
      <c r="G40" s="326"/>
      <c r="H40" s="326"/>
      <c r="I40" s="327"/>
      <c r="J40" s="342"/>
    </row>
    <row r="41" spans="2:14" ht="16.5" customHeight="1" thickBot="1" x14ac:dyDescent="0.25">
      <c r="B41" s="211"/>
      <c r="C41" s="492"/>
      <c r="D41" s="493"/>
      <c r="E41" s="493"/>
      <c r="F41" s="493"/>
      <c r="G41" s="328"/>
      <c r="H41" s="328"/>
      <c r="I41" s="329"/>
      <c r="J41" s="342"/>
    </row>
    <row r="42" spans="2:14" ht="53.1" customHeight="1" x14ac:dyDescent="0.2">
      <c r="B42" s="211"/>
      <c r="C42" s="487" t="s">
        <v>135</v>
      </c>
      <c r="D42" s="487"/>
      <c r="E42" s="487"/>
      <c r="F42" s="487"/>
      <c r="G42" s="487"/>
      <c r="H42" s="487"/>
      <c r="I42" s="487"/>
      <c r="J42" s="230"/>
    </row>
    <row r="43" spans="2:14" ht="15.6" customHeight="1" x14ac:dyDescent="0.2">
      <c r="B43" s="344"/>
      <c r="C43" s="345"/>
      <c r="D43" s="345"/>
      <c r="E43" s="345"/>
      <c r="F43" s="345"/>
      <c r="G43" s="345"/>
      <c r="H43" s="345"/>
      <c r="I43" s="344"/>
      <c r="J43" s="343"/>
    </row>
    <row r="44" spans="2:14" ht="14.45" customHeight="1" x14ac:dyDescent="0.2">
      <c r="B44" s="209"/>
      <c r="C44" s="210" t="s">
        <v>136</v>
      </c>
      <c r="D44" s="210"/>
      <c r="E44" s="209"/>
      <c r="F44" s="209"/>
      <c r="G44" s="209"/>
      <c r="H44" s="209"/>
      <c r="I44" s="209"/>
      <c r="J44" s="209"/>
    </row>
    <row r="45" spans="2:14" ht="24.6" customHeight="1" x14ac:dyDescent="0.2">
      <c r="B45" s="223"/>
      <c r="C45" s="348" t="s">
        <v>137</v>
      </c>
      <c r="D45" s="221"/>
      <c r="E45" s="221"/>
      <c r="F45" s="221"/>
      <c r="G45" s="221"/>
      <c r="H45" s="221"/>
      <c r="I45" s="221"/>
      <c r="J45" s="223"/>
    </row>
    <row r="46" spans="2:14" ht="18" customHeight="1" x14ac:dyDescent="0.2">
      <c r="B46" s="223"/>
      <c r="C46" s="221"/>
      <c r="D46" s="221" t="s">
        <v>138</v>
      </c>
      <c r="E46" s="221"/>
      <c r="F46" s="221"/>
      <c r="G46" s="221"/>
      <c r="H46" s="221"/>
      <c r="I46" s="221"/>
      <c r="J46" s="223"/>
    </row>
    <row r="47" spans="2:14" ht="18" customHeight="1" x14ac:dyDescent="0.2">
      <c r="B47" s="223"/>
      <c r="C47" s="221"/>
      <c r="D47" s="221" t="s">
        <v>139</v>
      </c>
      <c r="E47" s="221"/>
      <c r="F47" s="221"/>
      <c r="G47" s="221"/>
      <c r="H47" s="221"/>
      <c r="I47" s="221"/>
      <c r="J47" s="223"/>
    </row>
    <row r="48" spans="2:14" ht="18" customHeight="1" x14ac:dyDescent="0.2">
      <c r="B48" s="223"/>
      <c r="C48" s="221"/>
      <c r="D48" s="221" t="s">
        <v>140</v>
      </c>
      <c r="E48" s="221"/>
      <c r="F48" s="221"/>
      <c r="G48" s="221"/>
      <c r="H48" s="221"/>
      <c r="I48" s="221"/>
      <c r="J48" s="223"/>
    </row>
    <row r="49" spans="2:10" ht="18" customHeight="1" x14ac:dyDescent="0.2">
      <c r="B49" s="223"/>
      <c r="C49" s="221"/>
      <c r="D49" s="221" t="s">
        <v>141</v>
      </c>
      <c r="E49" s="221"/>
      <c r="F49" s="221"/>
      <c r="G49" s="221"/>
      <c r="H49" s="221"/>
      <c r="I49" s="221"/>
      <c r="J49" s="223"/>
    </row>
    <row r="50" spans="2:10" ht="18" customHeight="1" x14ac:dyDescent="0.2">
      <c r="B50" s="223"/>
      <c r="C50" s="221"/>
      <c r="D50" s="221" t="s">
        <v>142</v>
      </c>
      <c r="E50" s="221"/>
      <c r="F50" s="221"/>
      <c r="G50" s="221"/>
      <c r="H50" s="221"/>
      <c r="I50" s="221"/>
      <c r="J50" s="223"/>
    </row>
    <row r="51" spans="2:10" x14ac:dyDescent="0.2">
      <c r="B51" s="223"/>
      <c r="C51" s="221"/>
      <c r="D51" s="221"/>
      <c r="E51" s="221"/>
      <c r="F51" s="221"/>
      <c r="G51" s="221"/>
      <c r="H51" s="221"/>
      <c r="I51" s="221"/>
      <c r="J51" s="223"/>
    </row>
    <row r="52" spans="2:10" ht="6.6" customHeight="1" x14ac:dyDescent="0.2">
      <c r="B52" s="223"/>
      <c r="C52" s="223"/>
      <c r="D52" s="223"/>
      <c r="E52" s="223"/>
      <c r="F52" s="223"/>
      <c r="G52" s="223"/>
      <c r="H52" s="223"/>
      <c r="I52" s="223"/>
      <c r="J52" s="223"/>
    </row>
    <row r="53" spans="2:10" x14ac:dyDescent="0.2">
      <c r="B53" s="223"/>
      <c r="C53" s="346" t="s">
        <v>143</v>
      </c>
      <c r="D53" s="223"/>
      <c r="E53" s="223"/>
      <c r="F53" s="223"/>
      <c r="G53" s="223"/>
      <c r="H53" s="223"/>
      <c r="I53" s="223"/>
      <c r="J53" s="223"/>
    </row>
    <row r="54" spans="2:10" ht="6.6" customHeight="1" x14ac:dyDescent="0.2">
      <c r="B54" s="223"/>
      <c r="C54" s="223"/>
      <c r="D54" s="223"/>
      <c r="E54" s="223"/>
      <c r="F54" s="223"/>
      <c r="G54" s="223"/>
      <c r="H54" s="223"/>
      <c r="I54" s="223"/>
      <c r="J54" s="223"/>
    </row>
    <row r="55" spans="2:10" ht="124.5" customHeight="1" x14ac:dyDescent="0.2">
      <c r="B55" s="223"/>
      <c r="C55" s="486" t="s">
        <v>144</v>
      </c>
      <c r="D55" s="486"/>
      <c r="E55" s="486"/>
      <c r="F55" s="486"/>
      <c r="G55" s="486"/>
      <c r="H55" s="486"/>
      <c r="I55" s="486"/>
      <c r="J55" s="223"/>
    </row>
    <row r="56" spans="2:10" x14ac:dyDescent="0.2">
      <c r="B56" s="223"/>
      <c r="C56" s="223"/>
      <c r="D56" s="223"/>
      <c r="E56" s="223"/>
      <c r="F56" s="223"/>
      <c r="G56" s="223"/>
      <c r="H56" s="223"/>
      <c r="I56" s="223"/>
      <c r="J56" s="223"/>
    </row>
    <row r="57" spans="2:10" ht="15" thickBot="1" x14ac:dyDescent="0.25">
      <c r="B57" s="223"/>
      <c r="C57" s="221" t="s">
        <v>145</v>
      </c>
      <c r="D57" s="221"/>
      <c r="E57" s="221"/>
      <c r="F57" s="221"/>
      <c r="G57" s="221"/>
      <c r="H57" s="223"/>
      <c r="I57" s="223"/>
      <c r="J57" s="223"/>
    </row>
    <row r="58" spans="2:10" ht="15" customHeight="1" thickBot="1" x14ac:dyDescent="0.25">
      <c r="B58" s="223"/>
      <c r="C58" s="480"/>
      <c r="D58" s="481"/>
      <c r="E58" s="481"/>
      <c r="F58" s="481"/>
      <c r="G58" s="482"/>
      <c r="H58" s="223"/>
      <c r="I58" s="223"/>
      <c r="J58" s="223"/>
    </row>
    <row r="59" spans="2:10" ht="6.6" customHeight="1" x14ac:dyDescent="0.2">
      <c r="B59" s="223"/>
      <c r="C59" s="221"/>
      <c r="D59" s="221"/>
      <c r="E59" s="221"/>
      <c r="F59" s="221"/>
      <c r="G59" s="221"/>
      <c r="H59" s="223"/>
      <c r="I59" s="223"/>
      <c r="J59" s="223"/>
    </row>
    <row r="60" spans="2:10" ht="15" thickBot="1" x14ac:dyDescent="0.25">
      <c r="B60" s="223"/>
      <c r="C60" s="221" t="s">
        <v>146</v>
      </c>
      <c r="D60" s="221"/>
      <c r="E60" s="221"/>
      <c r="F60" s="221"/>
      <c r="G60" s="221"/>
      <c r="H60" s="223"/>
      <c r="I60" s="223"/>
      <c r="J60" s="223"/>
    </row>
    <row r="61" spans="2:10" ht="15" thickBot="1" x14ac:dyDescent="0.25">
      <c r="B61" s="223"/>
      <c r="C61" s="480"/>
      <c r="D61" s="481"/>
      <c r="E61" s="481"/>
      <c r="F61" s="481"/>
      <c r="G61" s="482"/>
      <c r="H61" s="223"/>
      <c r="I61" s="223"/>
      <c r="J61" s="223"/>
    </row>
    <row r="62" spans="2:10" x14ac:dyDescent="0.2">
      <c r="B62" s="223"/>
      <c r="C62" s="497"/>
      <c r="D62" s="497"/>
      <c r="E62" s="497"/>
      <c r="F62" s="497"/>
      <c r="G62" s="497"/>
      <c r="H62" s="223"/>
      <c r="I62" s="223"/>
      <c r="J62" s="223"/>
    </row>
    <row r="63" spans="2:10" ht="15" customHeight="1" thickBot="1" x14ac:dyDescent="0.25">
      <c r="B63" s="223"/>
      <c r="C63" s="221" t="s">
        <v>25</v>
      </c>
      <c r="D63" s="221"/>
      <c r="E63" s="221"/>
      <c r="F63" s="221"/>
      <c r="G63" s="221"/>
      <c r="H63" s="223"/>
      <c r="I63" s="223"/>
      <c r="J63" s="223"/>
    </row>
    <row r="64" spans="2:10" ht="15" customHeight="1" thickBot="1" x14ac:dyDescent="0.25">
      <c r="B64" s="223"/>
      <c r="C64" s="480"/>
      <c r="D64" s="481"/>
      <c r="E64" s="481"/>
      <c r="F64" s="481"/>
      <c r="G64" s="482"/>
      <c r="H64" s="223"/>
      <c r="I64" s="223"/>
      <c r="J64" s="223"/>
    </row>
    <row r="65" spans="2:11" ht="6.6" customHeight="1" x14ac:dyDescent="0.2">
      <c r="B65" s="223"/>
      <c r="C65" s="221"/>
      <c r="D65" s="221"/>
      <c r="E65" s="221"/>
      <c r="F65" s="221"/>
      <c r="G65" s="221"/>
      <c r="H65" s="223"/>
      <c r="I65" s="223"/>
      <c r="J65" s="223"/>
    </row>
    <row r="66" spans="2:11" ht="15" thickBot="1" x14ac:dyDescent="0.25">
      <c r="B66" s="223"/>
      <c r="C66" s="221" t="s">
        <v>147</v>
      </c>
      <c r="D66" s="221"/>
      <c r="E66" s="221"/>
      <c r="F66" s="221"/>
      <c r="G66" s="221"/>
      <c r="H66" s="223"/>
      <c r="I66" s="223"/>
      <c r="J66" s="223"/>
    </row>
    <row r="67" spans="2:11" ht="15" thickBot="1" x14ac:dyDescent="0.25">
      <c r="B67" s="223"/>
      <c r="C67" s="483"/>
      <c r="D67" s="484"/>
      <c r="E67" s="485"/>
      <c r="F67" s="221"/>
      <c r="G67" s="221"/>
      <c r="H67" s="223"/>
      <c r="I67" s="223"/>
      <c r="J67" s="223"/>
    </row>
    <row r="68" spans="2:11" ht="15" customHeight="1" x14ac:dyDescent="0.2">
      <c r="B68" s="223"/>
      <c r="C68" s="431" t="s">
        <v>44</v>
      </c>
      <c r="D68" s="431"/>
      <c r="E68" s="431"/>
      <c r="F68" s="223"/>
      <c r="G68" s="223"/>
      <c r="H68" s="223"/>
      <c r="I68" s="223"/>
      <c r="J68" s="223"/>
    </row>
    <row r="69" spans="2:11" x14ac:dyDescent="0.2">
      <c r="B69" s="223"/>
      <c r="C69" s="223"/>
      <c r="D69" s="223"/>
      <c r="E69" s="223"/>
      <c r="F69" s="223"/>
      <c r="G69" s="223"/>
      <c r="H69" s="223"/>
      <c r="I69" s="223"/>
      <c r="J69" s="223"/>
    </row>
    <row r="70" spans="2:11" x14ac:dyDescent="0.2">
      <c r="C70" s="347"/>
      <c r="D70" s="347"/>
      <c r="E70" s="347"/>
      <c r="F70" s="347"/>
      <c r="G70" s="347"/>
      <c r="H70" s="347"/>
      <c r="I70" s="347"/>
      <c r="J70" s="347"/>
      <c r="K70" s="347"/>
    </row>
    <row r="71" spans="2:11" ht="21.75" customHeight="1" x14ac:dyDescent="0.2">
      <c r="C71" s="499" t="s">
        <v>148</v>
      </c>
      <c r="D71" s="499"/>
      <c r="E71" s="499"/>
      <c r="F71" s="499"/>
      <c r="G71" s="499"/>
      <c r="H71" s="499"/>
      <c r="I71" s="499"/>
      <c r="J71" s="347"/>
      <c r="K71" s="347"/>
    </row>
    <row r="72" spans="2:11" ht="22.5" customHeight="1" x14ac:dyDescent="0.2">
      <c r="C72" s="498" t="s">
        <v>149</v>
      </c>
      <c r="D72" s="498"/>
      <c r="E72" s="498"/>
      <c r="F72" s="498"/>
      <c r="G72" s="498"/>
      <c r="H72" s="498"/>
      <c r="I72" s="498"/>
      <c r="J72" s="347"/>
      <c r="K72" s="347"/>
    </row>
    <row r="73" spans="2:11" ht="15" customHeight="1" x14ac:dyDescent="0.2">
      <c r="C73" s="494" t="s">
        <v>50</v>
      </c>
      <c r="D73" s="494"/>
      <c r="E73" s="494"/>
      <c r="F73" s="494"/>
      <c r="G73" s="494"/>
      <c r="H73" s="494"/>
      <c r="I73" s="494"/>
      <c r="J73" s="494"/>
    </row>
    <row r="74" spans="2:11" ht="15" customHeight="1" x14ac:dyDescent="0.2">
      <c r="C74" s="494"/>
      <c r="D74" s="494"/>
      <c r="E74" s="494"/>
      <c r="F74" s="494"/>
      <c r="G74" s="494"/>
      <c r="H74" s="494"/>
      <c r="I74" s="494"/>
      <c r="J74" s="494"/>
    </row>
    <row r="75" spans="2:11" ht="15" customHeight="1" x14ac:dyDescent="0.2">
      <c r="C75" s="494"/>
      <c r="D75" s="494"/>
      <c r="E75" s="494"/>
      <c r="F75" s="494"/>
      <c r="G75" s="494"/>
      <c r="H75" s="494"/>
      <c r="I75" s="494"/>
      <c r="J75" s="494"/>
    </row>
    <row r="76" spans="2:11" ht="15" customHeight="1" x14ac:dyDescent="0.2">
      <c r="C76" s="476" t="s">
        <v>150</v>
      </c>
      <c r="D76" s="476"/>
      <c r="E76" s="476"/>
      <c r="F76" s="476"/>
      <c r="G76" s="476"/>
      <c r="H76" s="476"/>
      <c r="I76" s="476"/>
      <c r="J76" s="476"/>
    </row>
    <row r="77" spans="2:11" ht="26.25" customHeight="1" x14ac:dyDescent="0.2">
      <c r="C77" s="476"/>
      <c r="D77" s="476"/>
      <c r="E77" s="476"/>
      <c r="F77" s="476"/>
      <c r="G77" s="476"/>
      <c r="H77" s="476"/>
      <c r="I77" s="476"/>
      <c r="J77" s="476"/>
    </row>
  </sheetData>
  <sheetProtection algorithmName="SHA-512" hashValue="w67Q2k29VY/vKKTh7kWH8f4YNcQLNNfRzGyUSud1YRjLBAReeV6MJKMI6mwfTQXqUrQj7WKYwYhZ3Zw3e/fSyQ==" saltValue="bdbF4IMYtpIy7FHnLLXbIQ==" spinCount="100000" sheet="1" selectLockedCells="1"/>
  <mergeCells count="43">
    <mergeCell ref="C73:J75"/>
    <mergeCell ref="C28:D28"/>
    <mergeCell ref="C62:G62"/>
    <mergeCell ref="C68:E68"/>
    <mergeCell ref="C72:I72"/>
    <mergeCell ref="C71:I71"/>
    <mergeCell ref="C32:I33"/>
    <mergeCell ref="C38:D38"/>
    <mergeCell ref="C39:D39"/>
    <mergeCell ref="C40:D40"/>
    <mergeCell ref="E38:F38"/>
    <mergeCell ref="C76:J77"/>
    <mergeCell ref="H24:I24"/>
    <mergeCell ref="C24:D24"/>
    <mergeCell ref="C18:E18"/>
    <mergeCell ref="C58:G58"/>
    <mergeCell ref="C67:E67"/>
    <mergeCell ref="C61:G61"/>
    <mergeCell ref="C64:G64"/>
    <mergeCell ref="C55:I55"/>
    <mergeCell ref="C42:I42"/>
    <mergeCell ref="C25:D25"/>
    <mergeCell ref="E39:F39"/>
    <mergeCell ref="E40:F40"/>
    <mergeCell ref="C41:D41"/>
    <mergeCell ref="E41:F41"/>
    <mergeCell ref="C37:I37"/>
    <mergeCell ref="C8:D8"/>
    <mergeCell ref="C15:E15"/>
    <mergeCell ref="C16:E16"/>
    <mergeCell ref="C26:D26"/>
    <mergeCell ref="C27:D27"/>
    <mergeCell ref="E8:G8"/>
    <mergeCell ref="E10:G10"/>
    <mergeCell ref="F15:I15"/>
    <mergeCell ref="F16:I16"/>
    <mergeCell ref="F17:I17"/>
    <mergeCell ref="C10:D12"/>
    <mergeCell ref="C9:D9"/>
    <mergeCell ref="E11:G11"/>
    <mergeCell ref="E12:G12"/>
    <mergeCell ref="E9:G9"/>
    <mergeCell ref="C17:E17"/>
  </mergeCells>
  <pageMargins left="0.7" right="0.7" top="0.75" bottom="0.75" header="0.3" footer="0.3"/>
  <pageSetup scale="46" orientation="portrait" r:id="rId1"/>
  <customProperties>
    <customPr name="_pios_i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6147" r:id="rId5" name="Check Box 3">
              <controlPr defaultSize="0" autoFill="0" autoLine="0" autoPict="0">
                <anchor moveWithCells="1">
                  <from>
                    <xdr:col>2</xdr:col>
                    <xdr:colOff>371475</xdr:colOff>
                    <xdr:row>44</xdr:row>
                    <xdr:rowOff>304800</xdr:rowOff>
                  </from>
                  <to>
                    <xdr:col>2</xdr:col>
                    <xdr:colOff>800100</xdr:colOff>
                    <xdr:row>46</xdr:row>
                    <xdr:rowOff>66675</xdr:rowOff>
                  </to>
                </anchor>
              </controlPr>
            </control>
          </mc:Choice>
        </mc:AlternateContent>
        <mc:AlternateContent xmlns:mc="http://schemas.openxmlformats.org/markup-compatibility/2006">
          <mc:Choice Requires="x14">
            <control shapeId="6148" r:id="rId6" name="Check Box 4">
              <controlPr defaultSize="0" autoFill="0" autoLine="0" autoPict="0">
                <anchor moveWithCells="1">
                  <from>
                    <xdr:col>2</xdr:col>
                    <xdr:colOff>371475</xdr:colOff>
                    <xdr:row>46</xdr:row>
                    <xdr:rowOff>0</xdr:rowOff>
                  </from>
                  <to>
                    <xdr:col>2</xdr:col>
                    <xdr:colOff>800100</xdr:colOff>
                    <xdr:row>47</xdr:row>
                    <xdr:rowOff>66675</xdr:rowOff>
                  </to>
                </anchor>
              </controlPr>
            </control>
          </mc:Choice>
        </mc:AlternateContent>
        <mc:AlternateContent xmlns:mc="http://schemas.openxmlformats.org/markup-compatibility/2006">
          <mc:Choice Requires="x14">
            <control shapeId="6149" r:id="rId7" name="Check Box 5">
              <controlPr defaultSize="0" autoFill="0" autoLine="0" autoPict="0">
                <anchor moveWithCells="1">
                  <from>
                    <xdr:col>2</xdr:col>
                    <xdr:colOff>371475</xdr:colOff>
                    <xdr:row>47</xdr:row>
                    <xdr:rowOff>9525</xdr:rowOff>
                  </from>
                  <to>
                    <xdr:col>2</xdr:col>
                    <xdr:colOff>800100</xdr:colOff>
                    <xdr:row>48</xdr:row>
                    <xdr:rowOff>76200</xdr:rowOff>
                  </to>
                </anchor>
              </controlPr>
            </control>
          </mc:Choice>
        </mc:AlternateContent>
        <mc:AlternateContent xmlns:mc="http://schemas.openxmlformats.org/markup-compatibility/2006">
          <mc:Choice Requires="x14">
            <control shapeId="6150" r:id="rId8" name="Check Box 6">
              <controlPr defaultSize="0" autoFill="0" autoLine="0" autoPict="0">
                <anchor moveWithCells="1">
                  <from>
                    <xdr:col>2</xdr:col>
                    <xdr:colOff>371475</xdr:colOff>
                    <xdr:row>48</xdr:row>
                    <xdr:rowOff>28575</xdr:rowOff>
                  </from>
                  <to>
                    <xdr:col>2</xdr:col>
                    <xdr:colOff>809625</xdr:colOff>
                    <xdr:row>49</xdr:row>
                    <xdr:rowOff>66675</xdr:rowOff>
                  </to>
                </anchor>
              </controlPr>
            </control>
          </mc:Choice>
        </mc:AlternateContent>
        <mc:AlternateContent xmlns:mc="http://schemas.openxmlformats.org/markup-compatibility/2006">
          <mc:Choice Requires="x14">
            <control shapeId="6151" r:id="rId9" name="Check Box 7">
              <controlPr defaultSize="0" autoFill="0" autoLine="0" autoPict="0">
                <anchor moveWithCells="1">
                  <from>
                    <xdr:col>2</xdr:col>
                    <xdr:colOff>371475</xdr:colOff>
                    <xdr:row>49</xdr:row>
                    <xdr:rowOff>9525</xdr:rowOff>
                  </from>
                  <to>
                    <xdr:col>2</xdr:col>
                    <xdr:colOff>790575</xdr:colOff>
                    <xdr:row>50</xdr:row>
                    <xdr:rowOff>76200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 id="{C2CDBB12-0B37-4B4E-8415-6B8FFF53C282}">
            <xm:f>'Niveau toit'!$I$8="non"</xm:f>
            <x14:dxf>
              <fill>
                <patternFill>
                  <bgColor rgb="FFFFFF00"/>
                </patternFill>
              </fill>
            </x14:dxf>
          </x14:cfRule>
          <x14:cfRule type="expression" priority="11" id="{998935F7-84F0-4C80-B60A-B506CD38AEFF}">
            <xm:f>'Niveau toit'!$H$8="non"</xm:f>
            <x14:dxf>
              <fill>
                <patternFill>
                  <bgColor rgb="FFFFFF00"/>
                </patternFill>
              </fill>
            </x14:dxf>
          </x14:cfRule>
          <x14:cfRule type="expression" priority="12" id="{2CDA2375-0B24-4C3A-A8D3-ED3CD0628F67}">
            <xm:f>'Niveau toit'!$G$8+'Niveau toit'!$G$8="non"</xm:f>
            <x14:dxf>
              <fill>
                <patternFill>
                  <bgColor rgb="FFFFFF00"/>
                </patternFill>
              </fill>
            </x14:dxf>
          </x14:cfRule>
          <xm:sqref>H25:I28</xm:sqref>
        </x14:conditionalFormatting>
        <x14:conditionalFormatting xmlns:xm="http://schemas.microsoft.com/office/excel/2006/main">
          <x14:cfRule type="expression" priority="1" id="{64BBDFAD-806F-4207-8120-413D22FE9066}">
            <xm:f>'Niveau toit'!$I$8="non"</xm:f>
            <x14:dxf>
              <fill>
                <patternFill>
                  <bgColor rgb="FFFFFF00"/>
                </patternFill>
              </fill>
            </x14:dxf>
          </x14:cfRule>
          <x14:cfRule type="expression" priority="2" id="{7A6D00A0-85D1-42AA-B1D5-4C3EF32B7DDB}">
            <xm:f>'Niveau toit'!$H$8="non"</xm:f>
            <x14:dxf>
              <fill>
                <patternFill>
                  <bgColor rgb="FFFFFF00"/>
                </patternFill>
              </fill>
            </x14:dxf>
          </x14:cfRule>
          <x14:cfRule type="expression" priority="3" id="{210B337B-A681-4718-A802-35C15AE7B657}">
            <xm:f>'Niveau toit'!$G$8+'Niveau toit'!$G$8="non"</xm:f>
            <x14:dxf>
              <fill>
                <patternFill>
                  <bgColor rgb="FFFFFF00"/>
                </patternFill>
              </fill>
            </x14:dxf>
          </x14:cfRule>
          <xm:sqref>I30</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E9DE9-CFA1-4F74-8EE8-A753142E1FA1}">
  <dimension ref="A1:Q51"/>
  <sheetViews>
    <sheetView showGridLines="0" showZeros="0" view="pageBreakPreview" zoomScale="115" zoomScaleNormal="70" zoomScaleSheetLayoutView="115" workbookViewId="0">
      <selection activeCell="K34" sqref="K34"/>
    </sheetView>
  </sheetViews>
  <sheetFormatPr baseColWidth="10" defaultColWidth="11.375" defaultRowHeight="14.25" x14ac:dyDescent="0.2"/>
  <cols>
    <col min="1" max="1" width="2.125" style="25" customWidth="1"/>
    <col min="2" max="2" width="11.375" style="25"/>
    <col min="3" max="3" width="13.125" style="25" customWidth="1"/>
    <col min="4" max="8" width="11" style="25" customWidth="1"/>
    <col min="9" max="9" width="11.375" style="25"/>
    <col min="10" max="10" width="11" style="25" customWidth="1"/>
    <col min="11" max="11" width="12" style="25" customWidth="1"/>
    <col min="12" max="12" width="2.125" style="25" customWidth="1"/>
    <col min="13" max="14" width="11.375" style="25"/>
    <col min="15" max="15" width="11" style="25" customWidth="1"/>
    <col min="16" max="16384" width="11.375" style="25"/>
  </cols>
  <sheetData>
    <row r="1" spans="1:15" ht="15.75" customHeight="1" x14ac:dyDescent="0.2">
      <c r="A1" s="43"/>
      <c r="B1" s="54"/>
      <c r="C1" s="55"/>
      <c r="D1" s="536" t="s">
        <v>151</v>
      </c>
      <c r="E1" s="536"/>
      <c r="F1" s="536"/>
      <c r="G1" s="536"/>
      <c r="H1" s="537"/>
      <c r="I1" s="537"/>
      <c r="J1" s="537"/>
      <c r="K1" s="537"/>
      <c r="L1" s="538"/>
      <c r="N1" s="25" t="s">
        <v>152</v>
      </c>
    </row>
    <row r="2" spans="1:15" ht="14.25" customHeight="1" x14ac:dyDescent="0.2">
      <c r="A2" s="42"/>
      <c r="B2" s="33"/>
      <c r="C2" s="33"/>
      <c r="D2" s="539"/>
      <c r="E2" s="539"/>
      <c r="F2" s="539"/>
      <c r="G2" s="539"/>
      <c r="H2" s="539"/>
      <c r="I2" s="539"/>
      <c r="J2" s="539"/>
      <c r="K2" s="539"/>
      <c r="L2" s="540"/>
    </row>
    <row r="3" spans="1:15" ht="15" customHeight="1" x14ac:dyDescent="0.2">
      <c r="A3" s="42"/>
      <c r="B3" s="33"/>
      <c r="C3" s="33"/>
      <c r="D3" s="539"/>
      <c r="E3" s="539"/>
      <c r="F3" s="539"/>
      <c r="G3" s="539"/>
      <c r="H3" s="539"/>
      <c r="I3" s="539"/>
      <c r="J3" s="539"/>
      <c r="K3" s="539"/>
      <c r="L3" s="540"/>
    </row>
    <row r="4" spans="1:15" ht="16.5" customHeight="1" thickBot="1" x14ac:dyDescent="0.25">
      <c r="A4" s="42"/>
      <c r="B4" s="49"/>
      <c r="C4" s="33"/>
      <c r="D4" s="539"/>
      <c r="E4" s="539"/>
      <c r="F4" s="539"/>
      <c r="G4" s="539"/>
      <c r="H4" s="541"/>
      <c r="I4" s="541"/>
      <c r="J4" s="541"/>
      <c r="K4" s="541"/>
      <c r="L4" s="542"/>
      <c r="N4" s="129" t="s">
        <v>153</v>
      </c>
      <c r="O4" s="129" t="s">
        <v>154</v>
      </c>
    </row>
    <row r="5" spans="1:15" ht="15" thickBot="1" x14ac:dyDescent="0.25">
      <c r="A5" s="43"/>
      <c r="B5" s="61"/>
      <c r="C5" s="62"/>
      <c r="D5" s="63"/>
      <c r="E5" s="34"/>
      <c r="F5" s="34"/>
      <c r="G5" s="34"/>
      <c r="H5" s="143" t="s">
        <v>155</v>
      </c>
      <c r="I5" s="35">
        <f ca="1">TODAY()</f>
        <v>45202</v>
      </c>
      <c r="J5" s="36"/>
      <c r="K5" s="36"/>
      <c r="L5" s="67"/>
      <c r="N5" s="137">
        <v>5.6782630000000003</v>
      </c>
      <c r="O5" s="137">
        <v>9.2902999999999999E-2</v>
      </c>
    </row>
    <row r="6" spans="1:15" ht="15" customHeight="1" x14ac:dyDescent="0.2">
      <c r="A6" s="42"/>
      <c r="B6" s="543" t="s">
        <v>156</v>
      </c>
      <c r="C6" s="543"/>
      <c r="D6" s="544"/>
      <c r="E6" s="357"/>
      <c r="F6" s="357"/>
      <c r="G6" s="357"/>
      <c r="H6" s="144" t="s">
        <v>157</v>
      </c>
      <c r="I6" s="545">
        <f>'1 - General information'!E40</f>
        <v>0</v>
      </c>
      <c r="J6" s="545"/>
      <c r="K6" s="545"/>
      <c r="L6" s="546"/>
    </row>
    <row r="7" spans="1:15" ht="26.25" thickBot="1" x14ac:dyDescent="0.25">
      <c r="A7" s="42"/>
      <c r="B7" s="357"/>
      <c r="C7" s="357"/>
      <c r="D7" s="358"/>
      <c r="E7" s="357"/>
      <c r="F7" s="357"/>
      <c r="G7" s="357"/>
      <c r="H7" s="145" t="s">
        <v>158</v>
      </c>
      <c r="I7" s="547">
        <f>'1 - General information'!E51</f>
        <v>0</v>
      </c>
      <c r="J7" s="547"/>
      <c r="K7" s="547"/>
      <c r="L7" s="548"/>
    </row>
    <row r="8" spans="1:15" ht="15" customHeight="1" x14ac:dyDescent="0.2">
      <c r="A8" s="42"/>
      <c r="B8" s="549" t="s">
        <v>159</v>
      </c>
      <c r="C8" s="549"/>
      <c r="D8" s="550"/>
      <c r="E8" s="359"/>
      <c r="F8" s="359"/>
      <c r="G8" s="359"/>
      <c r="H8" s="146" t="s">
        <v>160</v>
      </c>
      <c r="I8" s="545">
        <f>'1 - General information'!E44</f>
        <v>0</v>
      </c>
      <c r="J8" s="545"/>
      <c r="K8" s="545"/>
      <c r="L8" s="546"/>
    </row>
    <row r="9" spans="1:15" x14ac:dyDescent="0.2">
      <c r="A9" s="42"/>
      <c r="B9" s="551" t="s">
        <v>161</v>
      </c>
      <c r="C9" s="549"/>
      <c r="D9" s="550"/>
      <c r="E9" s="359"/>
      <c r="F9" s="359"/>
      <c r="G9" s="359"/>
      <c r="H9" s="146"/>
      <c r="I9" s="552">
        <f>'1 - General information'!D46</f>
        <v>0</v>
      </c>
      <c r="J9" s="552"/>
      <c r="K9" s="552"/>
      <c r="L9" s="553"/>
    </row>
    <row r="10" spans="1:15" ht="15.75" customHeight="1" thickBot="1" x14ac:dyDescent="0.25">
      <c r="A10" s="42"/>
      <c r="B10" s="359"/>
      <c r="C10" s="359"/>
      <c r="D10" s="360"/>
      <c r="E10" s="359"/>
      <c r="F10" s="359"/>
      <c r="G10" s="359"/>
      <c r="H10" s="147"/>
      <c r="I10" s="554">
        <f>'1 - General information'!I46</f>
        <v>0</v>
      </c>
      <c r="J10" s="554"/>
      <c r="K10" s="554"/>
      <c r="L10" s="555"/>
    </row>
    <row r="11" spans="1:15" ht="16.350000000000001" customHeight="1" x14ac:dyDescent="0.2">
      <c r="A11" s="42"/>
      <c r="B11" s="28"/>
      <c r="C11" s="28"/>
      <c r="D11" s="41"/>
      <c r="E11" s="28"/>
      <c r="F11" s="28"/>
      <c r="G11" s="28"/>
      <c r="H11" s="556" t="s">
        <v>162</v>
      </c>
      <c r="I11" s="557"/>
      <c r="J11" s="558">
        <f>'1 - General information'!E7</f>
        <v>0</v>
      </c>
      <c r="K11" s="558"/>
      <c r="L11" s="56"/>
    </row>
    <row r="12" spans="1:15" ht="15" thickBot="1" x14ac:dyDescent="0.25">
      <c r="A12" s="46"/>
      <c r="B12" s="64"/>
      <c r="C12" s="65"/>
      <c r="D12" s="66"/>
      <c r="E12" s="37"/>
      <c r="F12" s="37"/>
      <c r="G12" s="37"/>
      <c r="H12" s="533" t="s">
        <v>163</v>
      </c>
      <c r="I12" s="534"/>
      <c r="J12" s="535">
        <f>'1 - General information'!E42</f>
        <v>0</v>
      </c>
      <c r="K12" s="535"/>
      <c r="L12" s="148"/>
    </row>
    <row r="13" spans="1:15" ht="15.75" x14ac:dyDescent="0.2">
      <c r="A13" s="60"/>
      <c r="B13" s="515" t="s">
        <v>164</v>
      </c>
      <c r="C13" s="516"/>
      <c r="D13" s="516"/>
      <c r="E13" s="516"/>
      <c r="F13" s="516"/>
      <c r="G13" s="516"/>
      <c r="H13" s="531"/>
      <c r="I13" s="531"/>
      <c r="J13" s="531"/>
      <c r="K13" s="531"/>
      <c r="L13" s="532"/>
    </row>
    <row r="14" spans="1:15" ht="15" customHeight="1" x14ac:dyDescent="0.2">
      <c r="A14" s="42"/>
      <c r="B14" s="527" t="s">
        <v>165</v>
      </c>
      <c r="C14" s="527"/>
      <c r="D14" s="527"/>
      <c r="E14" s="361"/>
      <c r="F14" s="361"/>
      <c r="G14" s="361"/>
      <c r="H14" s="529">
        <f>'1 - General information'!E70</f>
        <v>0</v>
      </c>
      <c r="I14" s="530"/>
      <c r="J14" s="530"/>
      <c r="K14" s="530"/>
      <c r="L14" s="80"/>
    </row>
    <row r="15" spans="1:15" ht="15" customHeight="1" x14ac:dyDescent="0.2">
      <c r="A15" s="42"/>
      <c r="B15" s="527" t="s">
        <v>166</v>
      </c>
      <c r="C15" s="527"/>
      <c r="D15" s="527"/>
      <c r="E15" s="82"/>
      <c r="F15" s="82"/>
      <c r="G15" s="82"/>
      <c r="H15" s="173">
        <f>IF(H14="","",Calculs!E67)</f>
        <v>0</v>
      </c>
      <c r="I15" s="120"/>
      <c r="J15" s="120"/>
      <c r="K15" s="120"/>
      <c r="L15" s="80"/>
    </row>
    <row r="16" spans="1:15" ht="15" customHeight="1" x14ac:dyDescent="0.2">
      <c r="A16" s="42"/>
      <c r="B16" s="527" t="s">
        <v>167</v>
      </c>
      <c r="C16" s="527"/>
      <c r="D16" s="527"/>
      <c r="E16" s="361"/>
      <c r="F16" s="361"/>
      <c r="G16" s="361"/>
      <c r="H16" s="529">
        <f>'1 - General information'!E72</f>
        <v>0</v>
      </c>
      <c r="I16" s="530"/>
      <c r="J16" s="530"/>
      <c r="K16" s="530"/>
      <c r="L16" s="81"/>
    </row>
    <row r="17" spans="1:17" ht="15" customHeight="1" thickBot="1" x14ac:dyDescent="0.25">
      <c r="A17" s="42"/>
      <c r="B17" s="527" t="s">
        <v>168</v>
      </c>
      <c r="C17" s="527"/>
      <c r="D17" s="527"/>
      <c r="E17" s="82"/>
      <c r="F17" s="82"/>
      <c r="G17" s="82"/>
      <c r="H17" s="174">
        <f>IF(H16="","",Calculs!E69)</f>
        <v>0</v>
      </c>
      <c r="I17" s="79"/>
      <c r="J17" s="79"/>
      <c r="K17" s="79"/>
      <c r="L17" s="81"/>
    </row>
    <row r="18" spans="1:17" ht="15" thickBot="1" x14ac:dyDescent="0.25">
      <c r="A18" s="42"/>
      <c r="B18" s="527" t="s">
        <v>169</v>
      </c>
      <c r="C18" s="527"/>
      <c r="D18" s="527"/>
      <c r="E18" s="361"/>
      <c r="F18" s="361"/>
      <c r="G18" s="361"/>
      <c r="H18" s="175">
        <v>150000</v>
      </c>
      <c r="I18" s="29" t="s">
        <v>170</v>
      </c>
      <c r="L18" s="57"/>
    </row>
    <row r="19" spans="1:17" ht="15" thickBot="1" x14ac:dyDescent="0.25">
      <c r="A19" s="42"/>
      <c r="B19" s="527" t="s">
        <v>161</v>
      </c>
      <c r="C19" s="527"/>
      <c r="D19" s="527"/>
      <c r="E19" s="361"/>
      <c r="F19" s="361"/>
      <c r="G19" s="361"/>
      <c r="H19" s="176">
        <v>0.95</v>
      </c>
      <c r="I19" s="37"/>
      <c r="L19" s="57"/>
    </row>
    <row r="20" spans="1:17" ht="15" thickBot="1" x14ac:dyDescent="0.25">
      <c r="A20" s="46"/>
      <c r="B20" s="71"/>
      <c r="C20" s="72"/>
      <c r="D20" s="72"/>
      <c r="E20" s="72"/>
      <c r="F20" s="72"/>
      <c r="G20" s="72"/>
      <c r="H20" s="72"/>
      <c r="I20" s="72"/>
      <c r="J20" s="72"/>
      <c r="K20" s="72"/>
      <c r="L20" s="73"/>
    </row>
    <row r="21" spans="1:17" ht="15.75" x14ac:dyDescent="0.2">
      <c r="A21" s="60"/>
      <c r="B21" s="515" t="s">
        <v>171</v>
      </c>
      <c r="C21" s="516"/>
      <c r="D21" s="516"/>
      <c r="E21" s="516"/>
      <c r="F21" s="516"/>
      <c r="G21" s="516"/>
      <c r="H21" s="516"/>
      <c r="I21" s="516"/>
      <c r="J21" s="516"/>
      <c r="K21" s="516"/>
      <c r="L21" s="517"/>
    </row>
    <row r="22" spans="1:17" ht="9" customHeight="1" thickBot="1" x14ac:dyDescent="0.25">
      <c r="A22" s="42"/>
      <c r="B22" s="50"/>
      <c r="L22" s="58"/>
    </row>
    <row r="23" spans="1:17" ht="21.95" customHeight="1" thickBot="1" x14ac:dyDescent="0.25">
      <c r="A23" s="42"/>
      <c r="B23" s="525" t="s">
        <v>172</v>
      </c>
      <c r="C23" s="526"/>
      <c r="E23" s="437" t="s">
        <v>173</v>
      </c>
      <c r="F23" s="438"/>
      <c r="H23" s="172" t="s">
        <v>174</v>
      </c>
      <c r="L23" s="58"/>
    </row>
    <row r="24" spans="1:17" x14ac:dyDescent="0.2">
      <c r="A24" s="42"/>
      <c r="B24" s="50"/>
      <c r="E24" s="136" t="str">
        <f>IFERROR(VLOOKUP(E23,Contrôle!$AD$3:$AF$4,3,FALSE),"")</f>
        <v>(ft²∙h∙°F/Btu)</v>
      </c>
      <c r="F24" s="174" t="str">
        <f>IF(E23 = "R", "unité impériale", "unité internationale")</f>
        <v>unité impériale</v>
      </c>
      <c r="L24" s="58"/>
    </row>
    <row r="25" spans="1:17" ht="9" customHeight="1" x14ac:dyDescent="0.2">
      <c r="A25" s="42"/>
      <c r="B25" s="50"/>
      <c r="L25" s="58"/>
    </row>
    <row r="26" spans="1:17" ht="16.5" customHeight="1" x14ac:dyDescent="0.2">
      <c r="A26" s="42"/>
      <c r="B26" s="528"/>
      <c r="C26" s="528"/>
      <c r="D26" s="528"/>
      <c r="E26" s="528"/>
      <c r="F26" s="528"/>
      <c r="G26" s="528"/>
      <c r="H26" s="528"/>
      <c r="I26" s="528"/>
      <c r="J26" s="528"/>
      <c r="K26" s="528"/>
      <c r="L26" s="59"/>
    </row>
    <row r="27" spans="1:17" ht="42.95" customHeight="1" x14ac:dyDescent="0.2">
      <c r="A27" s="42"/>
      <c r="B27" s="521" t="s">
        <v>121</v>
      </c>
      <c r="C27" s="522"/>
      <c r="D27" s="129" t="s">
        <v>175</v>
      </c>
      <c r="E27" s="130" t="str">
        <f>"Valeur " &amp; E23 &amp;"
(de référence)"</f>
        <v>Valeur R
(de référence)</v>
      </c>
      <c r="F27" s="130" t="str">
        <f>"Valeur " &amp; E23 &amp;"
(après)"</f>
        <v>Valeur R
(après)</v>
      </c>
      <c r="G27" s="130" t="s">
        <v>176</v>
      </c>
      <c r="H27" s="129" t="str">
        <f>"Superficie Totale ("&amp; H23 &amp;")"</f>
        <v>Superficie Totale (ft²)</v>
      </c>
      <c r="I27" s="129" t="s">
        <v>177</v>
      </c>
      <c r="J27" s="520" t="s">
        <v>178</v>
      </c>
      <c r="K27" s="520"/>
      <c r="L27" s="59"/>
      <c r="N27" s="126"/>
      <c r="O27" s="126"/>
      <c r="P27" s="126"/>
      <c r="Q27" s="126"/>
    </row>
    <row r="28" spans="1:17" ht="15.75" customHeight="1" x14ac:dyDescent="0.2">
      <c r="A28" s="42"/>
      <c r="B28" s="523" t="s">
        <v>179</v>
      </c>
      <c r="C28" s="524"/>
      <c r="D28" s="362" t="str">
        <f>"nb = " &amp; 'Niveau fenêtre'!F14</f>
        <v>nb = 0</v>
      </c>
      <c r="E28" s="138">
        <f>'Niveau fenêtre'!U4*(($E$23="R")+($E$23="RSI")*1/$N$5)</f>
        <v>2.0441746800000002</v>
      </c>
      <c r="F28" s="139" t="e">
        <f ca="1">'Niveau fenêtre'!G25*(($E$23="R")+($E$23="RSI")*1/$N$5)</f>
        <v>#DIV/0!</v>
      </c>
      <c r="G28" s="131">
        <f ca="1">Calculs!E10</f>
        <v>0</v>
      </c>
      <c r="H28" s="140">
        <f>'Niveau fenêtre'!J14*(($H$23="m²")+($H$23="ft²")*1/$O$5)</f>
        <v>0</v>
      </c>
      <c r="I28" s="89">
        <f>'3 - Summary of costs'!G38</f>
        <v>0</v>
      </c>
      <c r="J28" s="102">
        <f>30</f>
        <v>30</v>
      </c>
      <c r="K28" s="123">
        <f>MIN(H28*J28*(($H$23="m²")+($H$23="ft²")*$O$5),Contrôle!$AK$3*I28)</f>
        <v>0</v>
      </c>
      <c r="L28" s="59"/>
      <c r="N28" s="169"/>
      <c r="O28" s="170"/>
      <c r="P28" s="128"/>
      <c r="Q28" s="128"/>
    </row>
    <row r="29" spans="1:17" ht="15.75" customHeight="1" x14ac:dyDescent="0.2">
      <c r="A29" s="42"/>
      <c r="B29" s="523" t="s">
        <v>180</v>
      </c>
      <c r="C29" s="524"/>
      <c r="D29" s="362" t="str">
        <f>IF('Niveau toit'!G10 = 1,"Oui","Non")</f>
        <v>Non</v>
      </c>
      <c r="E29" s="139">
        <f xml:space="preserve"> 'Niveau toit'!G5*(($E$23="R")+($E$23="RSI")*1/$N$5)</f>
        <v>0</v>
      </c>
      <c r="F29" s="139">
        <f>'Niveau toit'!G6*(($E$23="R")+($E$23="RSI")*1/$N$5)</f>
        <v>0</v>
      </c>
      <c r="G29" s="83">
        <f>Calculs!E22</f>
        <v>0</v>
      </c>
      <c r="H29" s="140">
        <f>'Niveau toit'!J5*(($H$23="m²")+($H$23="ft²")*1/$O$5)</f>
        <v>0</v>
      </c>
      <c r="I29" s="89">
        <f>'3 - Summary of costs'!G39</f>
        <v>0</v>
      </c>
      <c r="J29" s="102">
        <v>8</v>
      </c>
      <c r="K29" s="123">
        <f>MIN(H29*J29*(($H$23="m²")+($H$23="ft²")*$O$5),Contrôle!$AK$3*I29)</f>
        <v>0</v>
      </c>
      <c r="L29" s="59"/>
      <c r="N29" s="127"/>
      <c r="O29" s="128"/>
      <c r="P29" s="128"/>
      <c r="Q29" s="126"/>
    </row>
    <row r="30" spans="1:17" ht="15.75" customHeight="1" x14ac:dyDescent="0.2">
      <c r="A30" s="42"/>
      <c r="B30" s="518" t="s">
        <v>181</v>
      </c>
      <c r="C30" s="519"/>
      <c r="D30" s="362" t="str">
        <f>IF('Niveau murs hors sol'!G9 = 1,"Oui","Non")</f>
        <v>Non</v>
      </c>
      <c r="E30" s="139">
        <f>'Niveau murs hors sol'!G5*(($E$23="R")+($E$23="RSI")*1/$N$5)</f>
        <v>0</v>
      </c>
      <c r="F30" s="139">
        <f>'Niveau murs hors sol'!G6*(($E$23="R")+($E$23="RSI")*1/$N$5)</f>
        <v>0</v>
      </c>
      <c r="G30" s="83">
        <f>Calculs!E34</f>
        <v>0</v>
      </c>
      <c r="H30" s="140">
        <f>'Niveau murs hors sol'!J5*(($H$23="m²")+($H$23="ft²")*1/$O$5)</f>
        <v>0</v>
      </c>
      <c r="I30" s="89">
        <f>'3 - Summary of costs'!G40</f>
        <v>0</v>
      </c>
      <c r="J30" s="102">
        <v>8</v>
      </c>
      <c r="K30" s="123">
        <f>MIN(H30*J30*(($H$23="m²")+($H$23="ft²")*$O$5),Contrôle!$AK$3*I30)</f>
        <v>0</v>
      </c>
      <c r="L30" s="59"/>
      <c r="N30" s="127"/>
      <c r="O30" s="128"/>
      <c r="P30" s="128"/>
      <c r="Q30" s="126"/>
    </row>
    <row r="31" spans="1:17" ht="15.75" customHeight="1" x14ac:dyDescent="0.2">
      <c r="A31" s="42"/>
      <c r="B31" s="518" t="s">
        <v>182</v>
      </c>
      <c r="C31" s="519"/>
      <c r="D31" s="362" t="str">
        <f>IF('Niveau murs sous-sol'!G9 = 1,"Oui","Non")</f>
        <v>Non</v>
      </c>
      <c r="E31" s="139">
        <f>'Niveau murs sous-sol'!G5*(($E$23="R")+($E$23="RSI")*1/$N$5)</f>
        <v>0</v>
      </c>
      <c r="F31" s="139">
        <f>'Niveau murs sous-sol'!G6*(($E$23="R")+($E$23="RSI")*1/$N$5)</f>
        <v>0</v>
      </c>
      <c r="G31" s="83">
        <f>Calculs!E46</f>
        <v>0</v>
      </c>
      <c r="H31" s="140">
        <f>'Niveau murs sous-sol'!J5*(($H$23="m²")+($H$23="ft²")*1/$O$5)</f>
        <v>0</v>
      </c>
      <c r="I31" s="89">
        <f>'3 - Summary of costs'!G41</f>
        <v>0</v>
      </c>
      <c r="J31" s="102">
        <v>8</v>
      </c>
      <c r="K31" s="123">
        <f>MIN(H31*J31*(($H$23="m²")+($H$23="ft²")*$O$5),Contrôle!$AK$3*I31)</f>
        <v>0</v>
      </c>
      <c r="L31" s="59"/>
      <c r="N31" s="127"/>
      <c r="O31" s="128"/>
      <c r="P31" s="128"/>
      <c r="Q31" s="126"/>
    </row>
    <row r="32" spans="1:17" ht="15.75" customHeight="1" x14ac:dyDescent="0.2">
      <c r="A32" s="42"/>
      <c r="L32" s="59"/>
      <c r="N32" s="126"/>
      <c r="O32" s="126"/>
      <c r="P32" s="126"/>
      <c r="Q32" s="126"/>
    </row>
    <row r="33" spans="1:12" x14ac:dyDescent="0.2">
      <c r="A33" s="42"/>
      <c r="L33" s="59"/>
    </row>
    <row r="34" spans="1:12" x14ac:dyDescent="0.2">
      <c r="A34" s="42"/>
      <c r="B34" s="124" t="s">
        <v>183</v>
      </c>
      <c r="D34" s="48"/>
      <c r="E34" s="47"/>
      <c r="F34" s="47"/>
      <c r="G34" s="133">
        <f ca="1">SUM(G28:G31)</f>
        <v>0</v>
      </c>
      <c r="I34" s="132">
        <f>SUM(I28:I31)</f>
        <v>0</v>
      </c>
      <c r="K34" s="125">
        <f>MIN(SUM(K28:K31),40000)</f>
        <v>0</v>
      </c>
      <c r="L34" s="59"/>
    </row>
    <row r="35" spans="1:12" x14ac:dyDescent="0.2">
      <c r="A35" s="42"/>
      <c r="B35" s="120" t="s">
        <v>184</v>
      </c>
      <c r="C35" s="121"/>
      <c r="D35" s="121"/>
      <c r="E35" s="121"/>
      <c r="F35" s="121"/>
      <c r="G35" s="121"/>
      <c r="H35" s="121"/>
      <c r="I35" s="121"/>
      <c r="J35" s="121"/>
      <c r="K35" s="121"/>
      <c r="L35" s="59"/>
    </row>
    <row r="36" spans="1:12" x14ac:dyDescent="0.2">
      <c r="A36" s="42"/>
      <c r="B36" s="121"/>
      <c r="C36" s="121"/>
      <c r="D36" s="121"/>
      <c r="E36" s="121"/>
      <c r="F36" s="121"/>
      <c r="G36" s="121"/>
      <c r="H36" s="121"/>
      <c r="I36" s="121"/>
      <c r="J36" s="121"/>
      <c r="K36" s="121"/>
      <c r="L36" s="59"/>
    </row>
    <row r="37" spans="1:12" x14ac:dyDescent="0.2">
      <c r="A37" s="42"/>
      <c r="B37" s="120"/>
      <c r="D37" s="48"/>
      <c r="E37" s="48"/>
      <c r="F37" s="48"/>
      <c r="G37" s="48"/>
      <c r="H37" s="47"/>
      <c r="I37" s="47"/>
      <c r="J37" s="122"/>
      <c r="K37" s="103"/>
      <c r="L37" s="59"/>
    </row>
    <row r="38" spans="1:12" x14ac:dyDescent="0.2">
      <c r="A38" s="42"/>
      <c r="B38" s="120"/>
      <c r="C38" s="48"/>
      <c r="D38" s="47"/>
      <c r="E38" s="47"/>
      <c r="F38" s="47"/>
      <c r="G38" s="47"/>
      <c r="H38" s="47"/>
      <c r="I38" s="122"/>
      <c r="J38" s="38"/>
      <c r="K38" s="122"/>
      <c r="L38" s="59"/>
    </row>
    <row r="39" spans="1:12" ht="15.75" x14ac:dyDescent="0.2">
      <c r="A39" s="60"/>
      <c r="B39" s="515"/>
      <c r="C39" s="516"/>
      <c r="D39" s="516"/>
      <c r="E39" s="516"/>
      <c r="F39" s="516"/>
      <c r="G39" s="516"/>
      <c r="H39" s="516"/>
      <c r="I39" s="516"/>
      <c r="J39" s="516"/>
      <c r="K39" s="516"/>
      <c r="L39" s="517"/>
    </row>
    <row r="40" spans="1:12" x14ac:dyDescent="0.2">
      <c r="A40" s="42"/>
      <c r="B40" s="51"/>
      <c r="C40" s="48"/>
      <c r="D40" s="47"/>
      <c r="E40" s="47"/>
      <c r="F40" s="47"/>
      <c r="G40" s="47"/>
      <c r="H40" s="47"/>
      <c r="I40" s="122"/>
      <c r="J40" s="122"/>
      <c r="K40" s="122"/>
      <c r="L40" s="59"/>
    </row>
    <row r="41" spans="1:12" x14ac:dyDescent="0.2">
      <c r="A41" s="42"/>
      <c r="B41" s="48" t="s">
        <v>185</v>
      </c>
      <c r="C41" s="48"/>
      <c r="D41" s="122"/>
      <c r="E41" s="122"/>
      <c r="F41" s="122"/>
      <c r="G41" s="122"/>
      <c r="H41" s="503"/>
      <c r="I41" s="504"/>
      <c r="J41" s="122"/>
      <c r="K41" s="122"/>
      <c r="L41" s="59"/>
    </row>
    <row r="42" spans="1:12" ht="3" customHeight="1" x14ac:dyDescent="0.2">
      <c r="A42" s="42"/>
      <c r="B42" s="48"/>
      <c r="C42" s="48"/>
      <c r="D42" s="122"/>
      <c r="E42" s="122"/>
      <c r="F42" s="122"/>
      <c r="G42" s="122"/>
      <c r="H42" s="47"/>
      <c r="I42" s="122"/>
      <c r="J42" s="122"/>
      <c r="K42" s="122"/>
      <c r="L42" s="59"/>
    </row>
    <row r="43" spans="1:12" x14ac:dyDescent="0.2">
      <c r="A43" s="42"/>
      <c r="B43" s="48" t="s">
        <v>186</v>
      </c>
      <c r="C43" s="48"/>
      <c r="D43" s="122"/>
      <c r="E43" s="122"/>
      <c r="F43" s="122"/>
      <c r="G43" s="122"/>
      <c r="H43" s="505"/>
      <c r="I43" s="506"/>
      <c r="J43" s="122"/>
      <c r="K43" s="122"/>
      <c r="L43" s="59"/>
    </row>
    <row r="44" spans="1:12" ht="3" customHeight="1" x14ac:dyDescent="0.2">
      <c r="A44" s="42"/>
      <c r="B44" s="48"/>
      <c r="C44" s="48"/>
      <c r="D44" s="122"/>
      <c r="E44" s="122"/>
      <c r="F44" s="122"/>
      <c r="G44" s="122"/>
      <c r="H44" s="122"/>
      <c r="I44" s="68"/>
      <c r="J44" s="122"/>
      <c r="K44" s="122"/>
      <c r="L44" s="59"/>
    </row>
    <row r="45" spans="1:12" x14ac:dyDescent="0.2">
      <c r="A45" s="42"/>
      <c r="B45" s="48" t="s">
        <v>187</v>
      </c>
      <c r="C45" s="48"/>
      <c r="D45" s="47"/>
      <c r="E45" s="47"/>
      <c r="F45" s="47"/>
      <c r="G45" s="47"/>
      <c r="H45" s="505"/>
      <c r="I45" s="506"/>
      <c r="J45" s="122"/>
      <c r="K45" s="122"/>
      <c r="L45" s="59"/>
    </row>
    <row r="46" spans="1:12" ht="15" thickBot="1" x14ac:dyDescent="0.25">
      <c r="A46" s="42"/>
      <c r="B46" s="48"/>
      <c r="C46" s="51"/>
      <c r="D46" s="51"/>
      <c r="E46" s="51"/>
      <c r="F46" s="51"/>
      <c r="G46" s="51"/>
      <c r="H46" s="52"/>
      <c r="I46" s="51"/>
      <c r="J46" s="53"/>
      <c r="K46" s="53"/>
      <c r="L46" s="59"/>
    </row>
    <row r="47" spans="1:12" ht="15" customHeight="1" x14ac:dyDescent="0.2">
      <c r="A47" s="43"/>
      <c r="B47" s="507" t="s">
        <v>188</v>
      </c>
      <c r="C47" s="507"/>
      <c r="D47" s="507"/>
      <c r="E47" s="507"/>
      <c r="F47" s="507"/>
      <c r="G47" s="507"/>
      <c r="H47" s="507"/>
      <c r="I47" s="507"/>
      <c r="J47" s="507"/>
      <c r="K47" s="507"/>
      <c r="L47" s="508"/>
    </row>
    <row r="48" spans="1:12" ht="15" customHeight="1" x14ac:dyDescent="0.2">
      <c r="A48" s="42"/>
      <c r="B48" s="509"/>
      <c r="C48" s="509"/>
      <c r="D48" s="509"/>
      <c r="E48" s="509"/>
      <c r="F48" s="509"/>
      <c r="G48" s="509"/>
      <c r="H48" s="509"/>
      <c r="I48" s="509"/>
      <c r="J48" s="509"/>
      <c r="K48" s="509"/>
      <c r="L48" s="510"/>
    </row>
    <row r="49" spans="1:12" ht="15" customHeight="1" x14ac:dyDescent="0.2">
      <c r="A49" s="42"/>
      <c r="B49" s="509"/>
      <c r="C49" s="509"/>
      <c r="D49" s="509"/>
      <c r="E49" s="509"/>
      <c r="F49" s="509"/>
      <c r="G49" s="509"/>
      <c r="H49" s="509"/>
      <c r="I49" s="509"/>
      <c r="J49" s="509"/>
      <c r="K49" s="509"/>
      <c r="L49" s="510"/>
    </row>
    <row r="50" spans="1:12" ht="15" customHeight="1" x14ac:dyDescent="0.2">
      <c r="A50" s="42"/>
      <c r="B50" s="511" t="s">
        <v>189</v>
      </c>
      <c r="C50" s="511"/>
      <c r="D50" s="511"/>
      <c r="E50" s="511"/>
      <c r="F50" s="511"/>
      <c r="G50" s="511"/>
      <c r="H50" s="511"/>
      <c r="I50" s="511"/>
      <c r="J50" s="511"/>
      <c r="K50" s="511"/>
      <c r="L50" s="512"/>
    </row>
    <row r="51" spans="1:12" ht="26.25" customHeight="1" thickBot="1" x14ac:dyDescent="0.25">
      <c r="A51" s="46"/>
      <c r="B51" s="513"/>
      <c r="C51" s="513"/>
      <c r="D51" s="513"/>
      <c r="E51" s="513"/>
      <c r="F51" s="513"/>
      <c r="G51" s="513"/>
      <c r="H51" s="513"/>
      <c r="I51" s="513"/>
      <c r="J51" s="513"/>
      <c r="K51" s="513"/>
      <c r="L51" s="514"/>
    </row>
  </sheetData>
  <mergeCells count="38">
    <mergeCell ref="B13:L13"/>
    <mergeCell ref="H12:I12"/>
    <mergeCell ref="J12:K12"/>
    <mergeCell ref="D1:L4"/>
    <mergeCell ref="B6:D6"/>
    <mergeCell ref="I6:L6"/>
    <mergeCell ref="I7:L7"/>
    <mergeCell ref="B8:D8"/>
    <mergeCell ref="I8:L8"/>
    <mergeCell ref="B9:D9"/>
    <mergeCell ref="I9:L9"/>
    <mergeCell ref="I10:L10"/>
    <mergeCell ref="H11:I11"/>
    <mergeCell ref="J11:K11"/>
    <mergeCell ref="B14:D14"/>
    <mergeCell ref="H14:K14"/>
    <mergeCell ref="B16:D16"/>
    <mergeCell ref="H16:K16"/>
    <mergeCell ref="B18:D18"/>
    <mergeCell ref="B17:D17"/>
    <mergeCell ref="B15:D15"/>
    <mergeCell ref="B23:C23"/>
    <mergeCell ref="E23:F23"/>
    <mergeCell ref="B19:D19"/>
    <mergeCell ref="B21:L21"/>
    <mergeCell ref="B26:K26"/>
    <mergeCell ref="B39:L39"/>
    <mergeCell ref="B31:C31"/>
    <mergeCell ref="J27:K27"/>
    <mergeCell ref="B27:C27"/>
    <mergeCell ref="B28:C28"/>
    <mergeCell ref="B29:C29"/>
    <mergeCell ref="B30:C30"/>
    <mergeCell ref="H41:I41"/>
    <mergeCell ref="H43:I43"/>
    <mergeCell ref="H45:I45"/>
    <mergeCell ref="B47:L49"/>
    <mergeCell ref="B50:L51"/>
  </mergeCells>
  <conditionalFormatting sqref="H41">
    <cfRule type="cellIs" dxfId="11" priority="61" operator="equal">
      <formula>""</formula>
    </cfRule>
  </conditionalFormatting>
  <conditionalFormatting sqref="H43">
    <cfRule type="cellIs" dxfId="10" priority="63" operator="equal">
      <formula>""</formula>
    </cfRule>
  </conditionalFormatting>
  <conditionalFormatting sqref="H45">
    <cfRule type="cellIs" dxfId="9" priority="62" operator="equal">
      <formula>""</formula>
    </cfRule>
  </conditionalFormatting>
  <pageMargins left="0.7" right="0.7" top="0.75" bottom="0.75" header="0.3" footer="0.3"/>
  <pageSetup scale="59" orientation="portrait" r:id="rId1"/>
  <customProperties>
    <customPr name="_pios_id" r:id="rId2"/>
  </customPropertie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4" id="{8C77487E-7F24-49BA-818C-C7CF89918713}">
            <xm:f>'Niveau toit'!$I$8="non"</xm:f>
            <x14:dxf>
              <fill>
                <patternFill>
                  <bgColor rgb="FFFFFF00"/>
                </patternFill>
              </fill>
            </x14:dxf>
          </x14:cfRule>
          <x14:cfRule type="expression" priority="5" id="{FC7B5C9F-0003-4A28-A2CA-E6B86A5DC891}">
            <xm:f>'Niveau toit'!$H$8="non"</xm:f>
            <x14:dxf>
              <fill>
                <patternFill>
                  <bgColor rgb="FFFFFF00"/>
                </patternFill>
              </fill>
            </x14:dxf>
          </x14:cfRule>
          <x14:cfRule type="expression" priority="6" id="{099B5981-4FB5-45B0-B72E-937A941811B5}">
            <xm:f>'Niveau toit'!$G$8+'Niveau toit'!$G$8="non"</xm:f>
            <x14:dxf>
              <fill>
                <patternFill>
                  <bgColor rgb="FFFFFF00"/>
                </patternFill>
              </fill>
            </x14:dxf>
          </x14:cfRule>
          <xm:sqref>C35:K35 B36:K36</xm:sqref>
        </x14:conditionalFormatting>
        <x14:conditionalFormatting xmlns:xm="http://schemas.microsoft.com/office/excel/2006/main">
          <x14:cfRule type="expression" priority="7" id="{7504E886-73BD-4500-A649-443CE96251A7}">
            <xm:f>'Niveau toit'!$I$8="non"</xm:f>
            <x14:dxf>
              <fill>
                <patternFill>
                  <bgColor rgb="FFFFFF00"/>
                </patternFill>
              </fill>
            </x14:dxf>
          </x14:cfRule>
          <x14:cfRule type="expression" priority="8" id="{F95DFECF-6693-456D-BE75-2128D24B4AB7}">
            <xm:f>'Niveau toit'!$H$8="non"</xm:f>
            <x14:dxf>
              <fill>
                <patternFill>
                  <bgColor rgb="FFFFFF00"/>
                </patternFill>
              </fill>
            </x14:dxf>
          </x14:cfRule>
          <x14:cfRule type="expression" priority="9" id="{54676907-1F6D-416E-A0FF-20C853F50CE7}">
            <xm:f>'Niveau toit'!$G$8+'Niveau toit'!$G$8="non"</xm:f>
            <x14:dxf>
              <fill>
                <patternFill>
                  <bgColor rgb="FFFFFF00"/>
                </patternFill>
              </fill>
            </x14:dxf>
          </x14:cfRule>
          <xm:sqref>J28:K31</xm:sqref>
        </x14:conditionalFormatting>
        <x14:conditionalFormatting xmlns:xm="http://schemas.microsoft.com/office/excel/2006/main">
          <x14:cfRule type="expression" priority="1" id="{12C8721D-F5C3-40FA-B59A-AC6B8E8052D7}">
            <xm:f>'Niveau toit'!$I$8="non"</xm:f>
            <x14:dxf>
              <fill>
                <patternFill>
                  <bgColor rgb="FFFFFF00"/>
                </patternFill>
              </fill>
            </x14:dxf>
          </x14:cfRule>
          <x14:cfRule type="expression" priority="2" id="{52C90596-A64C-47C7-9C06-4B90F1202C79}">
            <xm:f>'Niveau toit'!$H$8="non"</xm:f>
            <x14:dxf>
              <fill>
                <patternFill>
                  <bgColor rgb="FFFFFF00"/>
                </patternFill>
              </fill>
            </x14:dxf>
          </x14:cfRule>
          <x14:cfRule type="expression" priority="3" id="{D43EAA8D-F21F-422C-9CB1-FADDD4C4533D}">
            <xm:f>'Niveau toit'!$G$8+'Niveau toit'!$G$8="non"</xm:f>
            <x14:dxf>
              <fill>
                <patternFill>
                  <bgColor rgb="FFFFFF00"/>
                </patternFill>
              </fill>
            </x14:dxf>
          </x14:cfRule>
          <xm:sqref>K34</xm:sqref>
        </x14:conditionalFormatting>
        <x14:conditionalFormatting xmlns:xm="http://schemas.microsoft.com/office/excel/2006/main">
          <x14:cfRule type="expression" priority="58" id="{121D9A79-9569-444F-9A2A-C92907857695}">
            <xm:f>'Niveau toit'!$I$8="non"</xm:f>
            <x14:dxf>
              <fill>
                <patternFill>
                  <bgColor rgb="FFFFFF00"/>
                </patternFill>
              </fill>
            </x14:dxf>
          </x14:cfRule>
          <x14:cfRule type="expression" priority="59" id="{8FE529E6-83C4-42F6-B94A-3E60A21B8618}">
            <xm:f>'Niveau toit'!$H$8="non"</xm:f>
            <x14:dxf>
              <fill>
                <patternFill>
                  <bgColor rgb="FFFFFF00"/>
                </patternFill>
              </fill>
            </x14:dxf>
          </x14:cfRule>
          <x14:cfRule type="expression" priority="60" id="{CDCB1C4B-9655-48A8-A0A7-125BC489B79A}">
            <xm:f>'Niveau toit'!$G$8+'Niveau toit'!$G$8="non"</xm:f>
            <x14:dxf>
              <fill>
                <patternFill>
                  <bgColor rgb="FFFFFF00"/>
                </patternFill>
              </fill>
            </x14:dxf>
          </x14:cfRule>
          <xm:sqref>K37 J38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B78FA324-8597-4F93-B570-8AAA9EE491A8}">
          <x14:formula1>
            <xm:f>Contrôle!$P$3:$P$8</xm:f>
          </x14:formula1>
          <xm:sqref>H41:I41</xm:sqref>
        </x14:dataValidation>
        <x14:dataValidation type="list" allowBlank="1" showInputMessage="1" showErrorMessage="1" xr:uid="{2C6CE9D1-4D3A-494E-9C0C-0FD69F2FADCD}">
          <x14:formula1>
            <xm:f>Contrôle!$W$3:$W$4</xm:f>
          </x14:formula1>
          <xm:sqref>H23</xm:sqref>
        </x14:dataValidation>
        <x14:dataValidation type="list" allowBlank="1" showInputMessage="1" showErrorMessage="1" xr:uid="{5DF25AE9-E4BD-4A38-8186-9951CF736250}">
          <x14:formula1>
            <xm:f>Contrôle!$AD$3:$AD$4</xm:f>
          </x14:formula1>
          <xm:sqref>E23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10">
    <tabColor rgb="FFFFFF00"/>
  </sheetPr>
  <dimension ref="B1:J92"/>
  <sheetViews>
    <sheetView showGridLines="0" workbookViewId="0">
      <selection activeCell="E77" sqref="E77:F77"/>
    </sheetView>
  </sheetViews>
  <sheetFormatPr baseColWidth="10" defaultColWidth="11" defaultRowHeight="14.25" x14ac:dyDescent="0.2"/>
  <cols>
    <col min="1" max="1" width="1.5" customWidth="1"/>
    <col min="3" max="3" width="15.625" customWidth="1"/>
    <col min="4" max="4" width="19.375" customWidth="1"/>
  </cols>
  <sheetData>
    <row r="1" spans="2:9" ht="9" customHeight="1" x14ac:dyDescent="0.2"/>
    <row r="2" spans="2:9" ht="16.5" x14ac:dyDescent="0.2">
      <c r="B2" s="17" t="s">
        <v>190</v>
      </c>
    </row>
    <row r="4" spans="2:9" ht="15" x14ac:dyDescent="0.25">
      <c r="B4" s="21" t="s">
        <v>191</v>
      </c>
      <c r="H4" t="s">
        <v>192</v>
      </c>
    </row>
    <row r="6" spans="2:9" x14ac:dyDescent="0.2">
      <c r="B6" t="s">
        <v>193</v>
      </c>
      <c r="E6" s="567">
        <f ca="1">IFERROR('Niveau fenêtre'!K14,0)</f>
        <v>0</v>
      </c>
      <c r="F6" s="568"/>
      <c r="G6" t="s">
        <v>194</v>
      </c>
      <c r="H6" t="s">
        <v>195</v>
      </c>
    </row>
    <row r="7" spans="2:9" x14ac:dyDescent="0.2">
      <c r="E7" s="92"/>
      <c r="F7" s="92"/>
    </row>
    <row r="8" spans="2:9" x14ac:dyDescent="0.2">
      <c r="B8" t="s">
        <v>532</v>
      </c>
      <c r="E8" s="567">
        <f ca="1">IFERROR( (E6/37.89),0)</f>
        <v>0</v>
      </c>
      <c r="F8" s="568"/>
      <c r="G8" t="s">
        <v>196</v>
      </c>
      <c r="H8" t="s">
        <v>197</v>
      </c>
    </row>
    <row r="9" spans="2:9" x14ac:dyDescent="0.2">
      <c r="E9" s="92"/>
      <c r="F9" s="92"/>
    </row>
    <row r="10" spans="2:9" x14ac:dyDescent="0.2">
      <c r="B10" t="s">
        <v>533</v>
      </c>
      <c r="E10" s="567">
        <f ca="1">IFERROR((E8*$E$67*$E$69)/$E$71,0)*$E$73/100</f>
        <v>0</v>
      </c>
      <c r="F10" s="568"/>
      <c r="G10" t="s">
        <v>196</v>
      </c>
      <c r="H10" t="s">
        <v>198</v>
      </c>
    </row>
    <row r="11" spans="2:9" x14ac:dyDescent="0.2">
      <c r="E11" s="88"/>
      <c r="F11" s="88"/>
    </row>
    <row r="12" spans="2:9" x14ac:dyDescent="0.2">
      <c r="B12" s="372" t="s">
        <v>545</v>
      </c>
      <c r="C12" s="372"/>
      <c r="D12" s="372"/>
      <c r="E12" s="559">
        <f ca="1">IFERROR( (E6/3.6),0)</f>
        <v>0</v>
      </c>
      <c r="F12" s="560"/>
      <c r="G12" s="372" t="s">
        <v>542</v>
      </c>
      <c r="H12" s="372" t="s">
        <v>547</v>
      </c>
      <c r="I12" s="372"/>
    </row>
    <row r="13" spans="2:9" x14ac:dyDescent="0.2">
      <c r="B13" s="372"/>
      <c r="C13" s="372"/>
      <c r="D13" s="372"/>
      <c r="E13" s="379"/>
      <c r="F13" s="379"/>
      <c r="G13" s="372"/>
      <c r="H13" s="372"/>
      <c r="I13" s="372"/>
    </row>
    <row r="14" spans="2:9" x14ac:dyDescent="0.2">
      <c r="B14" s="372" t="s">
        <v>546</v>
      </c>
      <c r="C14" s="372"/>
      <c r="D14" s="372"/>
      <c r="E14" s="559">
        <f ca="1">IFERROR((E12*$E$83*$E$85)/$E$87,0)*$E$89/100</f>
        <v>0</v>
      </c>
      <c r="F14" s="560"/>
      <c r="G14" s="372" t="s">
        <v>542</v>
      </c>
      <c r="H14" s="372" t="s">
        <v>198</v>
      </c>
      <c r="I14" s="372"/>
    </row>
    <row r="15" spans="2:9" x14ac:dyDescent="0.2">
      <c r="E15" s="88"/>
      <c r="F15" s="88"/>
    </row>
    <row r="16" spans="2:9" ht="15" x14ac:dyDescent="0.25">
      <c r="B16" s="21" t="s">
        <v>199</v>
      </c>
      <c r="E16" s="88"/>
      <c r="F16" s="88"/>
    </row>
    <row r="17" spans="2:8" ht="15" x14ac:dyDescent="0.25">
      <c r="B17" s="21"/>
      <c r="E17" s="88"/>
      <c r="F17" s="88"/>
      <c r="H17" t="s">
        <v>200</v>
      </c>
    </row>
    <row r="18" spans="2:8" x14ac:dyDescent="0.2">
      <c r="B18" t="s">
        <v>201</v>
      </c>
      <c r="E18" s="567">
        <f>IFERROR('Niveau toit'!K5,0)</f>
        <v>0</v>
      </c>
      <c r="F18" s="568"/>
      <c r="G18" t="s">
        <v>194</v>
      </c>
    </row>
    <row r="19" spans="2:8" x14ac:dyDescent="0.2">
      <c r="E19" s="92"/>
      <c r="F19" s="92"/>
    </row>
    <row r="20" spans="2:8" x14ac:dyDescent="0.2">
      <c r="B20" t="s">
        <v>534</v>
      </c>
      <c r="E20" s="567">
        <f>IFERROR((E18/37.89),0)</f>
        <v>0</v>
      </c>
      <c r="F20" s="568"/>
      <c r="G20" t="s">
        <v>196</v>
      </c>
      <c r="H20" t="s">
        <v>202</v>
      </c>
    </row>
    <row r="21" spans="2:8" x14ac:dyDescent="0.2">
      <c r="E21" s="92"/>
      <c r="F21" s="92"/>
    </row>
    <row r="22" spans="2:8" x14ac:dyDescent="0.2">
      <c r="B22" t="s">
        <v>535</v>
      </c>
      <c r="E22" s="567">
        <f>IFERROR((E20*$E$67*$E$69)/$E$71,0)*$E$73/100</f>
        <v>0</v>
      </c>
      <c r="F22" s="568"/>
      <c r="G22" t="s">
        <v>196</v>
      </c>
      <c r="H22" t="s">
        <v>198</v>
      </c>
    </row>
    <row r="23" spans="2:8" x14ac:dyDescent="0.2">
      <c r="E23" s="92"/>
      <c r="F23" s="92"/>
    </row>
    <row r="24" spans="2:8" x14ac:dyDescent="0.2">
      <c r="B24" s="372" t="s">
        <v>548</v>
      </c>
      <c r="C24" s="372"/>
      <c r="D24" s="372"/>
      <c r="E24" s="559">
        <f>IFERROR((E18/3.6),0)</f>
        <v>0</v>
      </c>
      <c r="F24" s="560"/>
      <c r="G24" s="372" t="s">
        <v>542</v>
      </c>
      <c r="H24" s="372" t="s">
        <v>549</v>
      </c>
    </row>
    <row r="25" spans="2:8" x14ac:dyDescent="0.2">
      <c r="B25" s="372"/>
      <c r="C25" s="372"/>
      <c r="D25" s="372"/>
      <c r="E25" s="379"/>
      <c r="F25" s="379"/>
      <c r="G25" s="372"/>
      <c r="H25" s="372"/>
    </row>
    <row r="26" spans="2:8" x14ac:dyDescent="0.2">
      <c r="B26" s="372" t="s">
        <v>572</v>
      </c>
      <c r="C26" s="372"/>
      <c r="D26" s="372"/>
      <c r="E26" s="559">
        <f>IFERROR((E24*$E$83*$E$85)/$E$87,0)*$E$89/100</f>
        <v>0</v>
      </c>
      <c r="F26" s="560"/>
      <c r="G26" s="372" t="s">
        <v>542</v>
      </c>
      <c r="H26" s="372" t="s">
        <v>198</v>
      </c>
    </row>
    <row r="27" spans="2:8" x14ac:dyDescent="0.2">
      <c r="E27" s="92"/>
      <c r="F27" s="92"/>
    </row>
    <row r="28" spans="2:8" ht="15" x14ac:dyDescent="0.25">
      <c r="B28" s="21" t="s">
        <v>203</v>
      </c>
      <c r="E28" s="88"/>
      <c r="F28" s="88"/>
    </row>
    <row r="29" spans="2:8" ht="15" x14ac:dyDescent="0.25">
      <c r="B29" s="21"/>
      <c r="E29" s="88"/>
      <c r="F29" s="88"/>
      <c r="H29" t="s">
        <v>204</v>
      </c>
    </row>
    <row r="30" spans="2:8" x14ac:dyDescent="0.2">
      <c r="B30" t="s">
        <v>205</v>
      </c>
      <c r="E30" s="567">
        <f>IFERROR('Niveau murs hors sol'!K5,0)</f>
        <v>0</v>
      </c>
      <c r="F30" s="568"/>
      <c r="G30" t="s">
        <v>194</v>
      </c>
    </row>
    <row r="31" spans="2:8" x14ac:dyDescent="0.2">
      <c r="E31" s="92"/>
      <c r="F31" s="92"/>
    </row>
    <row r="32" spans="2:8" x14ac:dyDescent="0.2">
      <c r="B32" t="s">
        <v>538</v>
      </c>
      <c r="E32" s="567">
        <f>IFERROR((E30/37.89),0)</f>
        <v>0</v>
      </c>
      <c r="F32" s="568"/>
      <c r="G32" t="s">
        <v>196</v>
      </c>
      <c r="H32" t="s">
        <v>206</v>
      </c>
    </row>
    <row r="33" spans="2:10" x14ac:dyDescent="0.2">
      <c r="E33" s="92"/>
      <c r="F33" s="92"/>
    </row>
    <row r="34" spans="2:10" x14ac:dyDescent="0.2">
      <c r="B34" t="s">
        <v>539</v>
      </c>
      <c r="E34" s="567">
        <f>IFERROR((E32*$E$67*$E$69)/$E$71,0)*$E$73/100</f>
        <v>0</v>
      </c>
      <c r="F34" s="568"/>
      <c r="G34" t="s">
        <v>196</v>
      </c>
      <c r="H34" t="s">
        <v>198</v>
      </c>
    </row>
    <row r="35" spans="2:10" x14ac:dyDescent="0.2">
      <c r="E35" s="92"/>
      <c r="F35" s="92"/>
    </row>
    <row r="36" spans="2:10" x14ac:dyDescent="0.2">
      <c r="B36" s="372" t="s">
        <v>550</v>
      </c>
      <c r="C36" s="372"/>
      <c r="D36" s="372"/>
      <c r="E36" s="559">
        <f>IFERROR((E30/3.6),0)</f>
        <v>0</v>
      </c>
      <c r="F36" s="560"/>
      <c r="G36" s="372" t="s">
        <v>542</v>
      </c>
      <c r="H36" s="372" t="s">
        <v>552</v>
      </c>
      <c r="I36" s="372"/>
    </row>
    <row r="37" spans="2:10" x14ac:dyDescent="0.2">
      <c r="B37" s="372"/>
      <c r="C37" s="372"/>
      <c r="D37" s="372"/>
      <c r="E37" s="379"/>
      <c r="F37" s="379"/>
      <c r="G37" s="372"/>
      <c r="H37" s="372"/>
      <c r="I37" s="372"/>
    </row>
    <row r="38" spans="2:10" x14ac:dyDescent="0.2">
      <c r="B38" s="372" t="s">
        <v>551</v>
      </c>
      <c r="C38" s="372"/>
      <c r="D38" s="372"/>
      <c r="E38" s="559">
        <f>IFERROR((E36*$E$83*$E$85)/$E$87,0)*$E$89/100</f>
        <v>0</v>
      </c>
      <c r="F38" s="560"/>
      <c r="G38" s="372" t="s">
        <v>542</v>
      </c>
      <c r="H38" s="372" t="s">
        <v>198</v>
      </c>
      <c r="I38" s="372"/>
    </row>
    <row r="39" spans="2:10" x14ac:dyDescent="0.2">
      <c r="E39" s="92"/>
      <c r="F39" s="92"/>
    </row>
    <row r="40" spans="2:10" ht="15" x14ac:dyDescent="0.25">
      <c r="B40" s="21" t="s">
        <v>207</v>
      </c>
      <c r="E40" s="88"/>
      <c r="F40" s="88"/>
    </row>
    <row r="41" spans="2:10" ht="15" x14ac:dyDescent="0.25">
      <c r="B41" s="21"/>
      <c r="E41" s="88"/>
      <c r="F41" s="88"/>
      <c r="H41" t="s">
        <v>208</v>
      </c>
    </row>
    <row r="42" spans="2:10" x14ac:dyDescent="0.2">
      <c r="B42" t="s">
        <v>209</v>
      </c>
      <c r="E42" s="567">
        <f>IFERROR('Niveau murs sous-sol'!K5,0)</f>
        <v>0</v>
      </c>
      <c r="F42" s="568"/>
      <c r="G42" t="s">
        <v>194</v>
      </c>
    </row>
    <row r="43" spans="2:10" x14ac:dyDescent="0.2">
      <c r="E43" s="92"/>
      <c r="F43" s="92"/>
    </row>
    <row r="44" spans="2:10" x14ac:dyDescent="0.2">
      <c r="B44" t="s">
        <v>536</v>
      </c>
      <c r="E44" s="567">
        <f>IFERROR((E42/37.89),0)</f>
        <v>0</v>
      </c>
      <c r="F44" s="568"/>
      <c r="G44" t="s">
        <v>196</v>
      </c>
      <c r="H44" t="s">
        <v>210</v>
      </c>
    </row>
    <row r="45" spans="2:10" x14ac:dyDescent="0.2">
      <c r="E45" s="92"/>
      <c r="F45" s="92"/>
    </row>
    <row r="46" spans="2:10" x14ac:dyDescent="0.2">
      <c r="B46" t="s">
        <v>537</v>
      </c>
      <c r="E46" s="567">
        <f>IFERROR((E44*$E$67*$E$69)/$E$71,0)*$E$73/100</f>
        <v>0</v>
      </c>
      <c r="F46" s="568"/>
      <c r="G46" t="s">
        <v>196</v>
      </c>
      <c r="H46" t="s">
        <v>198</v>
      </c>
    </row>
    <row r="47" spans="2:10" x14ac:dyDescent="0.2">
      <c r="E47" s="92"/>
      <c r="F47" s="92"/>
    </row>
    <row r="48" spans="2:10" x14ac:dyDescent="0.2">
      <c r="B48" s="372" t="s">
        <v>553</v>
      </c>
      <c r="C48" s="372"/>
      <c r="D48" s="372"/>
      <c r="E48" s="559">
        <f>IFERROR((E42/3.6),0)</f>
        <v>0</v>
      </c>
      <c r="F48" s="560"/>
      <c r="G48" s="372" t="s">
        <v>542</v>
      </c>
      <c r="H48" s="372" t="s">
        <v>555</v>
      </c>
      <c r="I48" s="372"/>
      <c r="J48" s="372"/>
    </row>
    <row r="49" spans="2:10" x14ac:dyDescent="0.2">
      <c r="B49" s="372"/>
      <c r="C49" s="372"/>
      <c r="D49" s="372"/>
      <c r="E49" s="379"/>
      <c r="F49" s="379"/>
      <c r="G49" s="372"/>
      <c r="H49" s="372"/>
      <c r="I49" s="372"/>
      <c r="J49" s="372"/>
    </row>
    <row r="50" spans="2:10" x14ac:dyDescent="0.2">
      <c r="B50" s="372" t="s">
        <v>554</v>
      </c>
      <c r="C50" s="372"/>
      <c r="D50" s="372"/>
      <c r="E50" s="559">
        <f>IFERROR((E48*$E$83*$E$85)/$E$87,0)*$E$89/100</f>
        <v>0</v>
      </c>
      <c r="F50" s="560"/>
      <c r="G50" s="372" t="s">
        <v>542</v>
      </c>
      <c r="H50" s="372" t="s">
        <v>198</v>
      </c>
      <c r="I50" s="372"/>
      <c r="J50" s="372"/>
    </row>
    <row r="51" spans="2:10" x14ac:dyDescent="0.2">
      <c r="B51" s="372"/>
      <c r="C51" s="372"/>
      <c r="D51" s="372"/>
      <c r="E51" s="379"/>
      <c r="F51" s="379"/>
      <c r="G51" s="372"/>
      <c r="H51" s="372"/>
      <c r="I51" s="372"/>
      <c r="J51" s="372"/>
    </row>
    <row r="52" spans="2:10" ht="15" x14ac:dyDescent="0.25">
      <c r="B52" s="159" t="s">
        <v>211</v>
      </c>
      <c r="C52" s="90"/>
      <c r="D52" s="90"/>
      <c r="E52" s="160"/>
      <c r="F52" s="160"/>
      <c r="G52" s="90"/>
    </row>
    <row r="53" spans="2:10" x14ac:dyDescent="0.2">
      <c r="B53" s="90"/>
      <c r="C53" s="90"/>
      <c r="D53" s="90"/>
      <c r="E53" s="160"/>
      <c r="F53" s="160"/>
      <c r="G53" s="90"/>
      <c r="H53" t="s">
        <v>212</v>
      </c>
    </row>
    <row r="54" spans="2:10" x14ac:dyDescent="0.2">
      <c r="B54" s="90" t="s">
        <v>213</v>
      </c>
      <c r="C54" s="90"/>
      <c r="D54" s="90"/>
      <c r="E54" s="577">
        <f>'Autres mesures'!E12</f>
        <v>0</v>
      </c>
      <c r="F54" s="578"/>
      <c r="G54" s="90" t="s">
        <v>194</v>
      </c>
    </row>
    <row r="55" spans="2:10" x14ac:dyDescent="0.2">
      <c r="B55" s="90"/>
      <c r="C55" s="90"/>
      <c r="D55" s="90"/>
      <c r="E55" s="160"/>
      <c r="F55" s="160"/>
      <c r="G55" s="90"/>
    </row>
    <row r="56" spans="2:10" x14ac:dyDescent="0.2">
      <c r="B56" s="90" t="s">
        <v>214</v>
      </c>
      <c r="C56" s="90"/>
      <c r="D56" s="90"/>
      <c r="E56" s="577">
        <f>'Autres mesures'!E13</f>
        <v>0</v>
      </c>
      <c r="F56" s="578"/>
      <c r="G56" s="90" t="s">
        <v>194</v>
      </c>
    </row>
    <row r="57" spans="2:10" x14ac:dyDescent="0.2">
      <c r="B57" s="90"/>
      <c r="C57" s="90"/>
      <c r="D57" s="90"/>
      <c r="E57" s="160"/>
      <c r="F57" s="160"/>
      <c r="G57" s="90"/>
    </row>
    <row r="58" spans="2:10" x14ac:dyDescent="0.2">
      <c r="B58" s="90" t="s">
        <v>215</v>
      </c>
      <c r="C58" s="90"/>
      <c r="D58" s="90"/>
      <c r="E58" s="577">
        <f>IFERROR(((E54+E56)/37.89),0)</f>
        <v>0</v>
      </c>
      <c r="F58" s="578"/>
      <c r="G58" s="90" t="s">
        <v>196</v>
      </c>
      <c r="H58" t="s">
        <v>216</v>
      </c>
    </row>
    <row r="59" spans="2:10" x14ac:dyDescent="0.2">
      <c r="B59" s="90"/>
      <c r="C59" s="90"/>
      <c r="D59" s="90"/>
      <c r="E59" s="160"/>
      <c r="F59" s="160"/>
      <c r="G59" s="90"/>
    </row>
    <row r="60" spans="2:10" x14ac:dyDescent="0.2">
      <c r="B60" s="90" t="s">
        <v>217</v>
      </c>
      <c r="C60" s="90"/>
      <c r="D60" s="90"/>
      <c r="E60" s="577">
        <f>IFERROR((E58*$E$67*$E$69)/$E$71,0)*$E$73/100</f>
        <v>0</v>
      </c>
      <c r="F60" s="578"/>
      <c r="G60" s="90" t="s">
        <v>196</v>
      </c>
      <c r="H60" t="s">
        <v>198</v>
      </c>
    </row>
    <row r="61" spans="2:10" x14ac:dyDescent="0.2">
      <c r="E61" s="19"/>
      <c r="F61" s="19"/>
    </row>
    <row r="62" spans="2:10" x14ac:dyDescent="0.2">
      <c r="E62" s="19"/>
      <c r="F62" s="19"/>
    </row>
    <row r="63" spans="2:10" ht="15" x14ac:dyDescent="0.25">
      <c r="B63" s="21" t="s">
        <v>540</v>
      </c>
      <c r="E63" s="19"/>
      <c r="F63" s="19"/>
    </row>
    <row r="65" spans="2:10" x14ac:dyDescent="0.2">
      <c r="B65" t="s">
        <v>218</v>
      </c>
      <c r="E65" s="567">
        <f ca="1">IFERROR(((E6+E18+E30+E42+E54+E56)/37.89),0)</f>
        <v>0</v>
      </c>
      <c r="F65" s="568"/>
      <c r="G65" t="s">
        <v>196</v>
      </c>
      <c r="H65" t="s">
        <v>219</v>
      </c>
    </row>
    <row r="66" spans="2:10" x14ac:dyDescent="0.2">
      <c r="E66" s="19"/>
      <c r="F66" s="19"/>
    </row>
    <row r="67" spans="2:10" x14ac:dyDescent="0.2">
      <c r="B67" t="s">
        <v>220</v>
      </c>
      <c r="E67" s="571">
        <f>IF('1 - General information'!E70=0,0,VLOOKUP('1 - General information'!E70,Contrôle!G3:H11,2,FALSE))</f>
        <v>0</v>
      </c>
      <c r="F67" s="572"/>
      <c r="H67" t="s">
        <v>221</v>
      </c>
    </row>
    <row r="68" spans="2:10" x14ac:dyDescent="0.2">
      <c r="E68" s="19"/>
      <c r="F68" s="19"/>
    </row>
    <row r="69" spans="2:10" x14ac:dyDescent="0.2">
      <c r="B69" t="s">
        <v>222</v>
      </c>
      <c r="E69" s="571">
        <f>IF('1 - General information'!E72=0,0,VLOOKUP('1 - General information'!E72,Contrôle!J3:K9,2,FALSE))</f>
        <v>0</v>
      </c>
      <c r="F69" s="572"/>
      <c r="H69" t="s">
        <v>223</v>
      </c>
    </row>
    <row r="70" spans="2:10" x14ac:dyDescent="0.2">
      <c r="E70" s="12"/>
      <c r="F70" s="12"/>
    </row>
    <row r="71" spans="2:10" x14ac:dyDescent="0.2">
      <c r="B71" t="s">
        <v>224</v>
      </c>
      <c r="E71" s="573">
        <f>Sommaire_Datech!H19</f>
        <v>0.95</v>
      </c>
      <c r="F71" s="574"/>
      <c r="H71" t="s">
        <v>225</v>
      </c>
    </row>
    <row r="73" spans="2:10" x14ac:dyDescent="0.2">
      <c r="B73" t="s">
        <v>226</v>
      </c>
      <c r="E73" s="575">
        <f>'1 - General information'!K76</f>
        <v>0</v>
      </c>
      <c r="F73" s="576"/>
      <c r="G73" t="s">
        <v>39</v>
      </c>
    </row>
    <row r="75" spans="2:10" x14ac:dyDescent="0.2">
      <c r="B75" t="s">
        <v>227</v>
      </c>
      <c r="D75" s="88"/>
      <c r="E75" s="567">
        <f ca="1">IFERROR((E65*E67*E69)/E71,0)*E73/100</f>
        <v>0</v>
      </c>
      <c r="F75" s="568"/>
      <c r="G75" t="s">
        <v>196</v>
      </c>
      <c r="H75" t="s">
        <v>228</v>
      </c>
    </row>
    <row r="76" spans="2:10" x14ac:dyDescent="0.2">
      <c r="E76" s="19"/>
      <c r="F76" s="19"/>
    </row>
    <row r="77" spans="2:10" x14ac:dyDescent="0.2">
      <c r="B77" t="s">
        <v>229</v>
      </c>
      <c r="E77" s="569">
        <f ca="1">IFERROR(E75/'2 - Description of the work'!#REF!,0)</f>
        <v>0</v>
      </c>
      <c r="F77" s="570"/>
    </row>
    <row r="78" spans="2:10" x14ac:dyDescent="0.2">
      <c r="E78" s="76"/>
      <c r="F78" s="76"/>
    </row>
    <row r="79" spans="2:10" ht="15" x14ac:dyDescent="0.25">
      <c r="B79" s="380" t="s">
        <v>541</v>
      </c>
      <c r="C79" s="372"/>
      <c r="D79" s="372"/>
      <c r="E79" s="381"/>
      <c r="F79" s="381"/>
      <c r="G79" s="372"/>
      <c r="H79" s="372"/>
      <c r="I79" s="366"/>
      <c r="J79" s="366"/>
    </row>
    <row r="80" spans="2:10" x14ac:dyDescent="0.2">
      <c r="B80" s="372"/>
      <c r="C80" s="372"/>
      <c r="D80" s="372"/>
      <c r="E80" s="372"/>
      <c r="F80" s="372"/>
      <c r="G80" s="372"/>
      <c r="H80" s="372"/>
      <c r="I80" s="366"/>
      <c r="J80" s="366"/>
    </row>
    <row r="81" spans="2:10" x14ac:dyDescent="0.2">
      <c r="B81" s="372" t="s">
        <v>218</v>
      </c>
      <c r="C81" s="372"/>
      <c r="D81" s="372"/>
      <c r="E81" s="559">
        <f ca="1">IFERROR(((E6+E18+E30+E42+E54+E56)/3.6),0)</f>
        <v>0</v>
      </c>
      <c r="F81" s="560"/>
      <c r="G81" s="372" t="s">
        <v>542</v>
      </c>
      <c r="H81" s="372" t="s">
        <v>544</v>
      </c>
      <c r="I81" s="366"/>
      <c r="J81" s="366"/>
    </row>
    <row r="82" spans="2:10" x14ac:dyDescent="0.2">
      <c r="B82" s="372"/>
      <c r="C82" s="372"/>
      <c r="D82" s="372"/>
      <c r="E82" s="381"/>
      <c r="F82" s="381"/>
      <c r="G82" s="372"/>
      <c r="H82" s="372"/>
      <c r="I82" s="366"/>
      <c r="J82" s="366"/>
    </row>
    <row r="83" spans="2:10" x14ac:dyDescent="0.2">
      <c r="B83" s="372" t="s">
        <v>220</v>
      </c>
      <c r="C83" s="372"/>
      <c r="D83" s="372"/>
      <c r="E83" s="561">
        <f>IF('1 - General information'!E70=0,0,VLOOKUP('1 - General information'!E70,Contrôle!G3:H11,2,FALSE))</f>
        <v>0</v>
      </c>
      <c r="F83" s="562"/>
      <c r="G83" s="372"/>
      <c r="H83" s="372" t="s">
        <v>221</v>
      </c>
      <c r="I83" s="366"/>
      <c r="J83" s="366"/>
    </row>
    <row r="84" spans="2:10" x14ac:dyDescent="0.2">
      <c r="B84" s="372"/>
      <c r="C84" s="372"/>
      <c r="D84" s="372"/>
      <c r="E84" s="381"/>
      <c r="F84" s="381"/>
      <c r="G84" s="372"/>
      <c r="H84" s="372"/>
      <c r="I84" s="366"/>
      <c r="J84" s="366"/>
    </row>
    <row r="85" spans="2:10" x14ac:dyDescent="0.2">
      <c r="B85" s="372" t="s">
        <v>222</v>
      </c>
      <c r="C85" s="372"/>
      <c r="D85" s="372"/>
      <c r="E85" s="561">
        <f>IF('1 - General information'!E72=0,0,VLOOKUP('1 - General information'!E72,Contrôle!J3:K9,2,FALSE))</f>
        <v>0</v>
      </c>
      <c r="F85" s="562"/>
      <c r="G85" s="372"/>
      <c r="H85" s="372" t="s">
        <v>223</v>
      </c>
      <c r="I85" s="366"/>
      <c r="J85" s="366"/>
    </row>
    <row r="86" spans="2:10" x14ac:dyDescent="0.2">
      <c r="B86" s="372"/>
      <c r="C86" s="372"/>
      <c r="D86" s="372"/>
      <c r="E86" s="382"/>
      <c r="F86" s="382"/>
      <c r="G86" s="372"/>
      <c r="H86" s="372"/>
      <c r="I86" s="366"/>
      <c r="J86" s="366"/>
    </row>
    <row r="87" spans="2:10" x14ac:dyDescent="0.2">
      <c r="B87" s="372" t="s">
        <v>224</v>
      </c>
      <c r="C87" s="372"/>
      <c r="D87" s="372"/>
      <c r="E87" s="563">
        <v>1</v>
      </c>
      <c r="F87" s="564"/>
      <c r="G87" s="372"/>
      <c r="H87" s="372" t="s">
        <v>225</v>
      </c>
      <c r="I87" s="366"/>
      <c r="J87" s="366"/>
    </row>
    <row r="88" spans="2:10" x14ac:dyDescent="0.2">
      <c r="B88" s="372"/>
      <c r="C88" s="372"/>
      <c r="D88" s="372"/>
      <c r="E88" s="372"/>
      <c r="F88" s="372"/>
      <c r="G88" s="372"/>
      <c r="H88" s="372"/>
      <c r="I88" s="366"/>
      <c r="J88" s="366"/>
    </row>
    <row r="89" spans="2:10" x14ac:dyDescent="0.2">
      <c r="B89" s="372" t="s">
        <v>543</v>
      </c>
      <c r="C89" s="372"/>
      <c r="D89" s="372"/>
      <c r="E89" s="565">
        <f>'1 - General information'!$K$78</f>
        <v>0</v>
      </c>
      <c r="F89" s="566"/>
      <c r="G89" s="372" t="s">
        <v>39</v>
      </c>
      <c r="H89" s="372"/>
      <c r="I89" s="366"/>
      <c r="J89" s="366"/>
    </row>
    <row r="90" spans="2:10" x14ac:dyDescent="0.2">
      <c r="B90" s="372"/>
      <c r="C90" s="372"/>
      <c r="D90" s="372"/>
      <c r="E90" s="372"/>
      <c r="F90" s="372"/>
      <c r="G90" s="372"/>
      <c r="H90" s="372"/>
      <c r="I90" s="366"/>
      <c r="J90" s="366"/>
    </row>
    <row r="91" spans="2:10" x14ac:dyDescent="0.2">
      <c r="B91" s="372" t="s">
        <v>227</v>
      </c>
      <c r="C91" s="372"/>
      <c r="D91" s="383"/>
      <c r="E91" s="559">
        <f ca="1">IFERROR((E81*E83*E85)/E87,0)*E89/100</f>
        <v>0</v>
      </c>
      <c r="F91" s="560"/>
      <c r="G91" s="372" t="s">
        <v>542</v>
      </c>
      <c r="H91" s="372" t="s">
        <v>228</v>
      </c>
      <c r="I91" s="366"/>
      <c r="J91" s="366"/>
    </row>
    <row r="92" spans="2:10" x14ac:dyDescent="0.2">
      <c r="B92" s="366"/>
      <c r="C92" s="366"/>
      <c r="D92" s="366"/>
      <c r="E92" s="367"/>
      <c r="F92" s="367"/>
      <c r="G92" s="366"/>
      <c r="H92" s="366"/>
      <c r="I92" s="366"/>
      <c r="J92" s="366"/>
    </row>
  </sheetData>
  <mergeCells count="37">
    <mergeCell ref="E71:F71"/>
    <mergeCell ref="E73:F73"/>
    <mergeCell ref="E54:F54"/>
    <mergeCell ref="E56:F56"/>
    <mergeCell ref="E8:F8"/>
    <mergeCell ref="E58:F58"/>
    <mergeCell ref="E60:F60"/>
    <mergeCell ref="E10:F10"/>
    <mergeCell ref="E20:F20"/>
    <mergeCell ref="E22:F22"/>
    <mergeCell ref="E44:F44"/>
    <mergeCell ref="E46:F46"/>
    <mergeCell ref="E32:F32"/>
    <mergeCell ref="E34:F34"/>
    <mergeCell ref="E6:F6"/>
    <mergeCell ref="E65:F65"/>
    <mergeCell ref="E18:F18"/>
    <mergeCell ref="E67:F67"/>
    <mergeCell ref="E69:F69"/>
    <mergeCell ref="E30:F30"/>
    <mergeCell ref="E42:F42"/>
    <mergeCell ref="E91:F91"/>
    <mergeCell ref="E12:F12"/>
    <mergeCell ref="E14:F14"/>
    <mergeCell ref="E24:F24"/>
    <mergeCell ref="E26:F26"/>
    <mergeCell ref="E36:F36"/>
    <mergeCell ref="E38:F38"/>
    <mergeCell ref="E48:F48"/>
    <mergeCell ref="E50:F50"/>
    <mergeCell ref="E81:F81"/>
    <mergeCell ref="E83:F83"/>
    <mergeCell ref="E85:F85"/>
    <mergeCell ref="E87:F87"/>
    <mergeCell ref="E89:F89"/>
    <mergeCell ref="E75:F75"/>
    <mergeCell ref="E77:F77"/>
  </mergeCells>
  <pageMargins left="0.7" right="0.7" top="0.75" bottom="0.75" header="0.3" footer="0.3"/>
  <pageSetup orientation="portrait" verticalDpi="0" r:id="rId1"/>
  <customProperties>
    <customPr name="_pios_id" r:id="rId2"/>
  </customProperties>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2">
    <tabColor rgb="FFFFFF00"/>
  </sheetPr>
  <dimension ref="B1:AK22"/>
  <sheetViews>
    <sheetView showGridLines="0" topLeftCell="L1" zoomScaleNormal="100" workbookViewId="0">
      <selection activeCell="R13" sqref="R13"/>
    </sheetView>
  </sheetViews>
  <sheetFormatPr baseColWidth="10" defaultColWidth="11" defaultRowHeight="14.25" x14ac:dyDescent="0.2"/>
  <cols>
    <col min="1" max="1" width="1.5" customWidth="1"/>
    <col min="2" max="2" width="21.375" customWidth="1"/>
    <col min="3" max="3" width="26.375" customWidth="1"/>
    <col min="4" max="4" width="21.5" customWidth="1"/>
    <col min="5" max="6" width="1.625" customWidth="1"/>
    <col min="7" max="7" width="13.375" customWidth="1"/>
    <col min="8" max="8" width="17.625" customWidth="1"/>
    <col min="9" max="9" width="1.625" customWidth="1"/>
    <col min="10" max="10" width="49" customWidth="1"/>
    <col min="11" max="11" width="17.625" customWidth="1"/>
    <col min="12" max="12" width="31.5" customWidth="1"/>
    <col min="14" max="14" width="47" customWidth="1"/>
    <col min="15" max="15" width="5.875" customWidth="1"/>
    <col min="16" max="16" width="16.125" customWidth="1"/>
    <col min="19" max="19" width="41.125" customWidth="1"/>
    <col min="21" max="21" width="46.375" customWidth="1"/>
    <col min="25" max="25" width="17.375" customWidth="1"/>
    <col min="26" max="27" width="12.125" customWidth="1"/>
    <col min="28" max="28" width="15.625" customWidth="1"/>
    <col min="30" max="30" width="11.5" customWidth="1"/>
    <col min="34" max="34" width="25.375" customWidth="1"/>
    <col min="35" max="35" width="22" customWidth="1"/>
    <col min="37" max="37" width="22" customWidth="1"/>
  </cols>
  <sheetData>
    <row r="1" spans="2:37" ht="9" customHeight="1" x14ac:dyDescent="0.2"/>
    <row r="2" spans="2:37" ht="15.75" customHeight="1" x14ac:dyDescent="0.2">
      <c r="B2" s="10" t="s">
        <v>230</v>
      </c>
      <c r="C2" s="10" t="s">
        <v>231</v>
      </c>
      <c r="D2" s="10" t="s">
        <v>232</v>
      </c>
      <c r="G2" s="10" t="s">
        <v>233</v>
      </c>
      <c r="H2" s="10" t="s">
        <v>234</v>
      </c>
      <c r="J2" s="10" t="s">
        <v>235</v>
      </c>
      <c r="K2" s="10" t="s">
        <v>236</v>
      </c>
      <c r="L2" s="10" t="s">
        <v>237</v>
      </c>
      <c r="N2" s="10" t="s">
        <v>238</v>
      </c>
      <c r="P2" s="10" t="s">
        <v>239</v>
      </c>
      <c r="Q2" s="69"/>
      <c r="R2" s="74" t="s">
        <v>231</v>
      </c>
      <c r="S2" s="10" t="s">
        <v>240</v>
      </c>
      <c r="U2" s="10" t="s">
        <v>241</v>
      </c>
      <c r="W2" s="10" t="s">
        <v>59</v>
      </c>
      <c r="Y2" s="10" t="s">
        <v>242</v>
      </c>
      <c r="Z2" s="10" t="s">
        <v>243</v>
      </c>
      <c r="AA2" s="10" t="s">
        <v>244</v>
      </c>
      <c r="AD2" s="195" t="s">
        <v>245</v>
      </c>
      <c r="AE2" s="10" t="s">
        <v>243</v>
      </c>
      <c r="AF2" s="10" t="s">
        <v>244</v>
      </c>
      <c r="AH2" s="10" t="s">
        <v>246</v>
      </c>
      <c r="AI2" s="10" t="s">
        <v>247</v>
      </c>
      <c r="AK2" s="10" t="s">
        <v>248</v>
      </c>
    </row>
    <row r="3" spans="2:37" ht="14.45" customHeight="1" x14ac:dyDescent="0.2">
      <c r="B3" s="579" t="s">
        <v>73</v>
      </c>
      <c r="C3" s="7" t="s">
        <v>249</v>
      </c>
      <c r="D3" s="8">
        <v>100000</v>
      </c>
      <c r="G3" s="40" t="s">
        <v>250</v>
      </c>
      <c r="H3" s="13">
        <v>1.1000000000000001</v>
      </c>
      <c r="J3" s="39" t="s">
        <v>251</v>
      </c>
      <c r="K3" s="13">
        <v>1</v>
      </c>
      <c r="L3" s="13"/>
      <c r="N3" s="45" t="s">
        <v>252</v>
      </c>
      <c r="P3" s="45" t="s">
        <v>253</v>
      </c>
      <c r="Q3" s="70"/>
      <c r="R3" s="75" t="s">
        <v>254</v>
      </c>
      <c r="S3" s="44" t="str">
        <f>IF('1 - General information'!F76=Contrôle!R3,IF('1 - General information'!K76="","mise en forme G74","Enlever mise en forme bleu G74"),"Aucune mise en forme G74")</f>
        <v>Aucune mise en forme G74</v>
      </c>
      <c r="U3" s="39" t="s">
        <v>255</v>
      </c>
      <c r="W3" s="39" t="s">
        <v>256</v>
      </c>
      <c r="Y3" s="39" t="s">
        <v>257</v>
      </c>
      <c r="Z3" s="40" t="s">
        <v>258</v>
      </c>
      <c r="AA3" s="40" t="s">
        <v>259</v>
      </c>
      <c r="AD3" s="39" t="s">
        <v>260</v>
      </c>
      <c r="AE3" s="40" t="s">
        <v>261</v>
      </c>
      <c r="AF3" s="40" t="s">
        <v>262</v>
      </c>
      <c r="AH3" s="39" t="s">
        <v>46</v>
      </c>
      <c r="AI3" s="134">
        <v>0.1</v>
      </c>
      <c r="AK3" s="134">
        <v>0.75</v>
      </c>
    </row>
    <row r="4" spans="2:37" x14ac:dyDescent="0.2">
      <c r="B4" s="580"/>
      <c r="C4" s="7" t="s">
        <v>263</v>
      </c>
      <c r="D4" s="8">
        <v>200000</v>
      </c>
      <c r="G4" s="40" t="s">
        <v>264</v>
      </c>
      <c r="H4" s="13">
        <v>1</v>
      </c>
      <c r="J4" s="39" t="s">
        <v>265</v>
      </c>
      <c r="K4" s="13">
        <v>1.2</v>
      </c>
      <c r="L4" s="13"/>
      <c r="N4" s="45" t="s">
        <v>266</v>
      </c>
      <c r="P4" s="45" t="s">
        <v>267</v>
      </c>
      <c r="Q4" s="70"/>
      <c r="R4" s="75" t="s">
        <v>268</v>
      </c>
      <c r="S4" s="44" t="str">
        <f>IF('1 - General information'!F76=Contrôle!$R$3,IF('2 - Description of the work'!#REF!="","mise en forme G76","Enlever mise en forme bleu G76"),"Aucune mise en forme G76")</f>
        <v>Aucune mise en forme G76</v>
      </c>
      <c r="U4" s="39" t="s">
        <v>269</v>
      </c>
      <c r="W4" s="39" t="s">
        <v>174</v>
      </c>
      <c r="Y4" s="39" t="s">
        <v>260</v>
      </c>
      <c r="Z4" s="40" t="s">
        <v>270</v>
      </c>
      <c r="AA4" s="40" t="s">
        <v>262</v>
      </c>
      <c r="AD4" s="39" t="s">
        <v>173</v>
      </c>
      <c r="AE4" s="40" t="s">
        <v>271</v>
      </c>
      <c r="AF4" s="40" t="s">
        <v>272</v>
      </c>
      <c r="AH4" s="39" t="s">
        <v>48</v>
      </c>
      <c r="AI4" s="134">
        <v>1</v>
      </c>
    </row>
    <row r="5" spans="2:37" x14ac:dyDescent="0.2">
      <c r="B5" s="579" t="s">
        <v>273</v>
      </c>
      <c r="C5" s="7" t="s">
        <v>274</v>
      </c>
      <c r="D5" s="8">
        <v>10000</v>
      </c>
      <c r="G5" s="40" t="s">
        <v>275</v>
      </c>
      <c r="H5" s="9">
        <v>1.03</v>
      </c>
      <c r="J5" s="39" t="s">
        <v>276</v>
      </c>
      <c r="K5" s="13">
        <v>1.17</v>
      </c>
      <c r="L5" s="13"/>
      <c r="N5" s="45" t="s">
        <v>277</v>
      </c>
      <c r="P5" s="45" t="s">
        <v>278</v>
      </c>
      <c r="Q5" s="70"/>
      <c r="S5" s="44" t="str">
        <f>IF('1 - General information'!$F$76=Contrôle!$R$3,IF('2 - Description of the work'!#REF!="","mise en forme G77","Enlever mise en forme bleu G77"),"Aucune mise en forme G77")</f>
        <v>Aucune mise en forme G77</v>
      </c>
      <c r="U5" s="39" t="s">
        <v>279</v>
      </c>
      <c r="Y5" s="39" t="s">
        <v>173</v>
      </c>
      <c r="Z5" s="40" t="s">
        <v>271</v>
      </c>
      <c r="AA5" s="40" t="s">
        <v>272</v>
      </c>
      <c r="AH5" s="39" t="s">
        <v>47</v>
      </c>
      <c r="AI5" s="134">
        <v>1</v>
      </c>
    </row>
    <row r="6" spans="2:37" x14ac:dyDescent="0.2">
      <c r="B6" s="581"/>
      <c r="C6" s="7" t="s">
        <v>280</v>
      </c>
      <c r="D6" s="8">
        <v>20000</v>
      </c>
      <c r="G6" s="40" t="s">
        <v>281</v>
      </c>
      <c r="H6" s="9">
        <v>1.03</v>
      </c>
      <c r="J6" s="39" t="s">
        <v>282</v>
      </c>
      <c r="K6" s="13">
        <v>1</v>
      </c>
      <c r="L6" s="13"/>
      <c r="N6" s="45" t="s">
        <v>283</v>
      </c>
      <c r="P6" s="45" t="s">
        <v>284</v>
      </c>
      <c r="Q6" s="70"/>
      <c r="AH6" s="39" t="s">
        <v>49</v>
      </c>
      <c r="AI6" s="134">
        <v>1</v>
      </c>
    </row>
    <row r="7" spans="2:37" x14ac:dyDescent="0.2">
      <c r="B7" s="580"/>
      <c r="C7" s="7" t="s">
        <v>285</v>
      </c>
      <c r="D7" s="8">
        <v>30000</v>
      </c>
      <c r="G7" s="40" t="s">
        <v>286</v>
      </c>
      <c r="H7" s="9">
        <v>1</v>
      </c>
      <c r="J7" s="39" t="s">
        <v>287</v>
      </c>
      <c r="K7" s="13">
        <v>1</v>
      </c>
      <c r="L7" s="13"/>
      <c r="P7" s="45" t="s">
        <v>288</v>
      </c>
      <c r="Q7" s="69"/>
    </row>
    <row r="8" spans="2:37" x14ac:dyDescent="0.2">
      <c r="B8" s="579" t="s">
        <v>289</v>
      </c>
      <c r="C8" s="7" t="s">
        <v>290</v>
      </c>
      <c r="D8" s="8">
        <v>1000</v>
      </c>
      <c r="G8" s="40" t="s">
        <v>291</v>
      </c>
      <c r="H8" s="9">
        <v>1</v>
      </c>
      <c r="J8" s="39" t="s">
        <v>292</v>
      </c>
      <c r="K8" s="13">
        <v>1</v>
      </c>
      <c r="L8" s="13"/>
      <c r="P8" s="45" t="s">
        <v>293</v>
      </c>
      <c r="Q8" s="70"/>
      <c r="R8" s="74" t="s">
        <v>558</v>
      </c>
      <c r="S8" s="10" t="s">
        <v>559</v>
      </c>
    </row>
    <row r="9" spans="2:37" x14ac:dyDescent="0.2">
      <c r="B9" s="581"/>
      <c r="C9" s="7" t="s">
        <v>294</v>
      </c>
      <c r="D9" s="8">
        <v>2000</v>
      </c>
      <c r="G9" s="40" t="s">
        <v>295</v>
      </c>
      <c r="H9" s="9">
        <v>1.03</v>
      </c>
      <c r="J9" s="39" t="s">
        <v>283</v>
      </c>
      <c r="K9" s="13">
        <v>1</v>
      </c>
      <c r="L9" s="13"/>
      <c r="P9" s="70"/>
      <c r="Q9" s="70"/>
      <c r="R9" s="75" t="s">
        <v>254</v>
      </c>
      <c r="S9" s="44"/>
    </row>
    <row r="10" spans="2:37" x14ac:dyDescent="0.2">
      <c r="B10" s="580"/>
      <c r="C10" s="7" t="s">
        <v>296</v>
      </c>
      <c r="D10" s="8">
        <v>3000</v>
      </c>
      <c r="G10" s="40" t="s">
        <v>297</v>
      </c>
      <c r="H10" s="9">
        <v>1.03</v>
      </c>
      <c r="K10" s="18"/>
      <c r="L10" s="18"/>
      <c r="R10" s="75" t="s">
        <v>268</v>
      </c>
      <c r="S10" s="44"/>
    </row>
    <row r="11" spans="2:37" x14ac:dyDescent="0.2">
      <c r="B11" s="579" t="s">
        <v>75</v>
      </c>
      <c r="C11" s="7" t="s">
        <v>298</v>
      </c>
      <c r="D11" s="8">
        <v>100</v>
      </c>
      <c r="G11" s="40" t="s">
        <v>299</v>
      </c>
      <c r="H11" s="9">
        <v>1.03</v>
      </c>
      <c r="S11" s="44"/>
    </row>
    <row r="12" spans="2:37" x14ac:dyDescent="0.2">
      <c r="B12" s="581"/>
      <c r="C12" s="7" t="s">
        <v>300</v>
      </c>
      <c r="D12" s="8">
        <v>200</v>
      </c>
      <c r="N12" s="69"/>
      <c r="O12" s="69"/>
      <c r="P12" s="69"/>
    </row>
    <row r="13" spans="2:37" x14ac:dyDescent="0.2">
      <c r="B13" s="581"/>
      <c r="C13" s="7" t="s">
        <v>301</v>
      </c>
      <c r="D13" s="8">
        <v>300</v>
      </c>
    </row>
    <row r="14" spans="2:37" x14ac:dyDescent="0.2">
      <c r="B14" s="579" t="s">
        <v>302</v>
      </c>
      <c r="C14" s="7" t="s">
        <v>254</v>
      </c>
      <c r="D14" s="8">
        <v>10</v>
      </c>
    </row>
    <row r="15" spans="2:37" x14ac:dyDescent="0.2">
      <c r="B15" s="580"/>
      <c r="C15" s="7" t="s">
        <v>268</v>
      </c>
      <c r="D15" s="8">
        <v>20</v>
      </c>
    </row>
    <row r="16" spans="2:37" x14ac:dyDescent="0.2">
      <c r="B16" s="579" t="s">
        <v>303</v>
      </c>
      <c r="C16" s="7" t="s">
        <v>254</v>
      </c>
      <c r="D16" s="8">
        <v>1</v>
      </c>
    </row>
    <row r="17" spans="2:11" x14ac:dyDescent="0.2">
      <c r="B17" s="580"/>
      <c r="C17" s="7" t="s">
        <v>268</v>
      </c>
      <c r="D17" s="8">
        <v>2</v>
      </c>
    </row>
    <row r="21" spans="2:11" x14ac:dyDescent="0.2">
      <c r="B21" s="194" t="s">
        <v>304</v>
      </c>
      <c r="C21" s="194"/>
      <c r="D21" s="194"/>
      <c r="E21" s="194"/>
      <c r="F21" s="194"/>
      <c r="G21" s="194"/>
      <c r="H21" s="194"/>
      <c r="I21" s="194"/>
      <c r="J21" s="194"/>
      <c r="K21" s="194"/>
    </row>
    <row r="22" spans="2:11" x14ac:dyDescent="0.2">
      <c r="B22" s="194" t="s">
        <v>305</v>
      </c>
      <c r="C22" s="194"/>
      <c r="D22" s="194"/>
      <c r="E22" s="194"/>
      <c r="F22" s="194"/>
      <c r="G22" s="194"/>
      <c r="H22" s="194"/>
      <c r="I22" s="194"/>
      <c r="J22" s="194"/>
      <c r="K22" s="194"/>
    </row>
  </sheetData>
  <mergeCells count="6">
    <mergeCell ref="B16:B17"/>
    <mergeCell ref="B3:B4"/>
    <mergeCell ref="B5:B7"/>
    <mergeCell ref="B8:B10"/>
    <mergeCell ref="B11:B13"/>
    <mergeCell ref="B14:B15"/>
  </mergeCells>
  <conditionalFormatting sqref="H43">
    <cfRule type="expression" priority="1">
      <formula>$L$4="Aucune mise en forme h44"</formula>
    </cfRule>
  </conditionalFormatting>
  <pageMargins left="0.7" right="0.7" top="0.75" bottom="0.75" header="0.3" footer="0.3"/>
  <pageSetup orientation="portrait" horizontalDpi="300" verticalDpi="300" r:id="rId1"/>
  <customProperties>
    <customPr name="_pios_id" r:id="rId2"/>
  </customProperties>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11">
    <tabColor rgb="FF95D5F5"/>
    <pageSetUpPr fitToPage="1"/>
  </sheetPr>
  <dimension ref="B1:R65"/>
  <sheetViews>
    <sheetView showGridLines="0" zoomScaleNormal="100" workbookViewId="0">
      <selection activeCell="K34" sqref="K34"/>
    </sheetView>
  </sheetViews>
  <sheetFormatPr baseColWidth="10" defaultColWidth="11" defaultRowHeight="14.25" x14ac:dyDescent="0.2"/>
  <cols>
    <col min="1" max="1" width="1.5" customWidth="1"/>
  </cols>
  <sheetData>
    <row r="1" spans="2:18" ht="9" customHeight="1" x14ac:dyDescent="0.2"/>
    <row r="2" spans="2:18" ht="18" x14ac:dyDescent="0.25">
      <c r="B2" s="584" t="s">
        <v>306</v>
      </c>
      <c r="C2" s="585"/>
      <c r="D2" s="585"/>
      <c r="E2" s="585"/>
      <c r="F2" s="585"/>
      <c r="G2" s="585"/>
      <c r="H2" s="585"/>
      <c r="I2" s="585"/>
      <c r="J2" s="585"/>
      <c r="K2" s="585"/>
      <c r="L2" s="585"/>
      <c r="M2" s="585"/>
      <c r="N2" s="585"/>
      <c r="O2" s="585"/>
      <c r="P2" s="585"/>
      <c r="Q2" s="585"/>
      <c r="R2" s="585"/>
    </row>
    <row r="3" spans="2:18" ht="15.75" x14ac:dyDescent="0.25">
      <c r="B3" s="20"/>
      <c r="E3" s="20"/>
      <c r="F3" s="20"/>
      <c r="H3" s="586" t="s">
        <v>307</v>
      </c>
      <c r="I3" s="586"/>
      <c r="J3" s="586"/>
      <c r="K3" s="586"/>
      <c r="L3" s="586"/>
      <c r="M3" s="586"/>
      <c r="N3" s="586"/>
      <c r="O3" s="586"/>
      <c r="P3" s="586"/>
      <c r="Q3" s="586"/>
      <c r="R3" s="586"/>
    </row>
    <row r="4" spans="2:18" x14ac:dyDescent="0.2">
      <c r="B4" s="20"/>
      <c r="E4" s="20"/>
      <c r="F4" s="20"/>
      <c r="H4" s="587"/>
      <c r="I4" s="587"/>
      <c r="J4" s="587"/>
      <c r="K4" s="587"/>
      <c r="L4" s="587"/>
      <c r="N4" s="587"/>
      <c r="O4" s="587"/>
      <c r="P4" s="587"/>
      <c r="Q4" s="587"/>
      <c r="R4" s="587"/>
    </row>
    <row r="5" spans="2:18" ht="15.75" x14ac:dyDescent="0.25">
      <c r="B5" s="588" t="s">
        <v>308</v>
      </c>
      <c r="C5" s="588"/>
      <c r="D5" s="2"/>
      <c r="E5" s="589" t="s">
        <v>309</v>
      </c>
      <c r="F5" s="589"/>
      <c r="G5" s="2"/>
      <c r="H5" s="589" t="s">
        <v>310</v>
      </c>
      <c r="I5" s="589"/>
      <c r="J5" s="589"/>
      <c r="K5" s="589"/>
      <c r="L5" s="589"/>
      <c r="M5" s="2"/>
      <c r="N5" s="589" t="s">
        <v>263</v>
      </c>
      <c r="O5" s="589"/>
      <c r="P5" s="589"/>
      <c r="Q5" s="589"/>
      <c r="R5" s="589"/>
    </row>
    <row r="6" spans="2:18" ht="15.75" x14ac:dyDescent="0.25">
      <c r="B6" s="590" t="s">
        <v>311</v>
      </c>
      <c r="C6" s="590"/>
      <c r="D6" s="2"/>
      <c r="E6" s="591" t="s">
        <v>312</v>
      </c>
      <c r="F6" s="591" t="s">
        <v>313</v>
      </c>
      <c r="G6" s="2"/>
      <c r="H6" s="582" t="s">
        <v>314</v>
      </c>
      <c r="I6" s="582" t="s">
        <v>315</v>
      </c>
      <c r="J6" s="582" t="s">
        <v>316</v>
      </c>
      <c r="K6" s="582" t="s">
        <v>317</v>
      </c>
      <c r="L6" s="582" t="s">
        <v>318</v>
      </c>
      <c r="M6" s="2"/>
      <c r="N6" s="582" t="s">
        <v>314</v>
      </c>
      <c r="O6" s="582" t="s">
        <v>315</v>
      </c>
      <c r="P6" s="582" t="s">
        <v>316</v>
      </c>
      <c r="Q6" s="582" t="s">
        <v>317</v>
      </c>
      <c r="R6" s="582" t="s">
        <v>318</v>
      </c>
    </row>
    <row r="7" spans="2:18" ht="15.75" x14ac:dyDescent="0.25">
      <c r="B7" s="363" t="s">
        <v>319</v>
      </c>
      <c r="C7" s="3" t="s">
        <v>320</v>
      </c>
      <c r="D7" s="3"/>
      <c r="E7" s="592"/>
      <c r="F7" s="592"/>
      <c r="G7" s="3"/>
      <c r="H7" s="583"/>
      <c r="I7" s="583"/>
      <c r="J7" s="583"/>
      <c r="K7" s="583"/>
      <c r="L7" s="583"/>
      <c r="M7" s="3"/>
      <c r="N7" s="583"/>
      <c r="O7" s="583"/>
      <c r="P7" s="583"/>
      <c r="Q7" s="583"/>
      <c r="R7" s="583"/>
    </row>
    <row r="8" spans="2:18" ht="18" x14ac:dyDescent="0.25">
      <c r="B8" s="20"/>
      <c r="C8" s="4" t="s">
        <v>321</v>
      </c>
      <c r="D8" s="4"/>
      <c r="E8" s="20"/>
      <c r="F8" s="20"/>
      <c r="G8" s="4"/>
      <c r="H8" s="20"/>
      <c r="I8" s="20"/>
      <c r="J8" s="20"/>
      <c r="K8" s="20"/>
      <c r="L8" s="20"/>
      <c r="M8" s="4"/>
      <c r="N8" s="20"/>
      <c r="O8" s="20"/>
      <c r="P8" s="20"/>
      <c r="Q8" s="20"/>
      <c r="R8" s="20"/>
    </row>
    <row r="9" spans="2:18" x14ac:dyDescent="0.2">
      <c r="B9" s="20">
        <v>1</v>
      </c>
      <c r="C9" s="5" t="s">
        <v>322</v>
      </c>
      <c r="D9" s="5"/>
      <c r="E9" s="20">
        <v>1.04</v>
      </c>
      <c r="F9" s="20">
        <v>1.04</v>
      </c>
      <c r="G9" s="5"/>
      <c r="H9" s="20">
        <v>1.23</v>
      </c>
      <c r="I9" s="20">
        <v>1.07</v>
      </c>
      <c r="J9" s="20">
        <v>0.93</v>
      </c>
      <c r="K9" s="20">
        <v>0.91</v>
      </c>
      <c r="L9" s="20">
        <v>0.85</v>
      </c>
      <c r="M9" s="5"/>
      <c r="N9" s="20">
        <v>1.1200000000000001</v>
      </c>
      <c r="O9" s="20">
        <v>1.07</v>
      </c>
      <c r="P9" s="20">
        <v>0.98</v>
      </c>
      <c r="Q9" s="20">
        <v>0.98</v>
      </c>
      <c r="R9" s="20">
        <v>1.04</v>
      </c>
    </row>
    <row r="10" spans="2:18" x14ac:dyDescent="0.2">
      <c r="B10" s="20">
        <v>2</v>
      </c>
      <c r="C10" s="5" t="s">
        <v>323</v>
      </c>
      <c r="D10" s="5"/>
      <c r="E10" s="20">
        <v>0.88</v>
      </c>
      <c r="F10" s="20">
        <v>0.88</v>
      </c>
      <c r="G10" s="5"/>
      <c r="H10" s="12">
        <v>1.1000000000000001</v>
      </c>
      <c r="I10" s="20">
        <v>0.94</v>
      </c>
      <c r="J10" s="20">
        <v>0.81</v>
      </c>
      <c r="K10" s="20">
        <v>0.8</v>
      </c>
      <c r="L10" s="20">
        <v>0.74</v>
      </c>
      <c r="M10" s="5"/>
      <c r="N10" s="20">
        <v>0.98</v>
      </c>
      <c r="O10" s="20">
        <v>0.92</v>
      </c>
      <c r="P10" s="20">
        <v>0.84</v>
      </c>
      <c r="Q10" s="20">
        <v>0.84</v>
      </c>
      <c r="R10" s="20">
        <v>0.88</v>
      </c>
    </row>
    <row r="11" spans="2:18" x14ac:dyDescent="0.2">
      <c r="B11" s="20">
        <v>3</v>
      </c>
      <c r="C11" s="5" t="s">
        <v>324</v>
      </c>
      <c r="D11" s="5"/>
      <c r="E11" s="20">
        <v>0.96</v>
      </c>
      <c r="F11" s="20">
        <v>0.96</v>
      </c>
      <c r="G11" s="5"/>
      <c r="H11" s="20">
        <v>1.17</v>
      </c>
      <c r="I11" s="20">
        <v>1.01</v>
      </c>
      <c r="J11" s="20">
        <v>0.87</v>
      </c>
      <c r="K11" s="20">
        <v>0.86</v>
      </c>
      <c r="L11" s="20">
        <v>0.79</v>
      </c>
      <c r="M11" s="5"/>
      <c r="N11" s="20">
        <v>1.05</v>
      </c>
      <c r="O11" s="20">
        <v>0.99</v>
      </c>
      <c r="P11" s="20">
        <v>0.91</v>
      </c>
      <c r="Q11" s="20">
        <v>0.91</v>
      </c>
      <c r="R11" s="20">
        <v>0.96</v>
      </c>
    </row>
    <row r="12" spans="2:18" ht="18" x14ac:dyDescent="0.25">
      <c r="B12" s="20"/>
      <c r="C12" s="4" t="s">
        <v>325</v>
      </c>
      <c r="D12" s="4"/>
      <c r="E12" s="20"/>
      <c r="F12" s="20"/>
      <c r="G12" s="4"/>
      <c r="H12" s="20"/>
      <c r="I12" s="20"/>
      <c r="J12" s="20"/>
      <c r="K12" s="20"/>
      <c r="L12" s="20"/>
      <c r="M12" s="4"/>
      <c r="N12" s="20"/>
      <c r="O12" s="20"/>
      <c r="P12" s="20"/>
      <c r="Q12" s="20"/>
      <c r="R12" s="20"/>
    </row>
    <row r="13" spans="2:18" x14ac:dyDescent="0.2">
      <c r="B13" s="20">
        <v>4</v>
      </c>
      <c r="C13" s="5" t="s">
        <v>326</v>
      </c>
      <c r="D13" s="5"/>
      <c r="E13" s="20">
        <v>0.55000000000000004</v>
      </c>
      <c r="F13" s="20">
        <v>0.64</v>
      </c>
      <c r="G13" s="5"/>
      <c r="H13" s="20">
        <v>0.81</v>
      </c>
      <c r="I13" s="20">
        <v>0.64</v>
      </c>
      <c r="J13" s="20">
        <v>0.56999999999999995</v>
      </c>
      <c r="K13" s="20">
        <v>0.55000000000000004</v>
      </c>
      <c r="L13" s="20">
        <v>0.5</v>
      </c>
      <c r="M13" s="5"/>
      <c r="N13" s="20">
        <v>0.68</v>
      </c>
      <c r="O13" s="20">
        <v>0.62</v>
      </c>
      <c r="P13" s="20">
        <v>0.56000000000000005</v>
      </c>
      <c r="Q13" s="20">
        <v>0.56000000000000005</v>
      </c>
      <c r="R13" s="20">
        <v>0.55000000000000004</v>
      </c>
    </row>
    <row r="14" spans="2:18" x14ac:dyDescent="0.2">
      <c r="B14" s="20">
        <v>5</v>
      </c>
      <c r="C14" s="5" t="s">
        <v>327</v>
      </c>
      <c r="D14" s="5"/>
      <c r="E14" s="20">
        <v>0.48</v>
      </c>
      <c r="F14" s="20">
        <v>0.59</v>
      </c>
      <c r="G14" s="5"/>
      <c r="H14" s="20">
        <v>0.76</v>
      </c>
      <c r="I14" s="20">
        <v>0.57999999999999996</v>
      </c>
      <c r="J14" s="20">
        <v>0.52</v>
      </c>
      <c r="K14" s="20">
        <v>0.5</v>
      </c>
      <c r="L14" s="20">
        <v>0.45</v>
      </c>
      <c r="M14" s="5"/>
      <c r="N14" s="20">
        <v>0.62</v>
      </c>
      <c r="O14" s="20">
        <v>0.56000000000000005</v>
      </c>
      <c r="P14" s="20">
        <v>0.5</v>
      </c>
      <c r="Q14" s="20">
        <v>0.5</v>
      </c>
      <c r="R14" s="20">
        <v>0.48</v>
      </c>
    </row>
    <row r="15" spans="2:18" x14ac:dyDescent="0.2">
      <c r="B15" s="20">
        <v>6</v>
      </c>
      <c r="C15" s="5" t="s">
        <v>328</v>
      </c>
      <c r="D15" s="5"/>
      <c r="E15" s="20">
        <v>0.51</v>
      </c>
      <c r="F15" s="20">
        <v>0.61</v>
      </c>
      <c r="G15" s="5"/>
      <c r="H15" s="20">
        <v>0.78</v>
      </c>
      <c r="I15" s="20">
        <v>0.61</v>
      </c>
      <c r="J15" s="20">
        <v>0.54</v>
      </c>
      <c r="K15" s="20">
        <v>0.52</v>
      </c>
      <c r="L15" s="20">
        <v>0.47</v>
      </c>
      <c r="M15" s="5"/>
      <c r="N15" s="20">
        <v>0.65</v>
      </c>
      <c r="O15" s="20">
        <v>0.59</v>
      </c>
      <c r="P15" s="20">
        <v>0.53</v>
      </c>
      <c r="Q15" s="20">
        <v>0.52</v>
      </c>
      <c r="R15" s="20">
        <v>0.51</v>
      </c>
    </row>
    <row r="16" spans="2:18" x14ac:dyDescent="0.2">
      <c r="B16" s="20">
        <v>7</v>
      </c>
      <c r="C16" s="5" t="s">
        <v>329</v>
      </c>
      <c r="D16" s="5"/>
      <c r="E16" s="20">
        <v>0.45</v>
      </c>
      <c r="F16" s="20">
        <v>0.56999999999999995</v>
      </c>
      <c r="G16" s="5"/>
      <c r="H16" s="20">
        <v>0.73</v>
      </c>
      <c r="I16" s="20">
        <v>0.56000000000000005</v>
      </c>
      <c r="J16" s="20">
        <v>0.5</v>
      </c>
      <c r="K16" s="20">
        <v>0.48</v>
      </c>
      <c r="L16" s="20">
        <v>0.43</v>
      </c>
      <c r="M16" s="5"/>
      <c r="N16" s="20">
        <v>0.6</v>
      </c>
      <c r="O16" s="20">
        <v>0.53</v>
      </c>
      <c r="P16" s="20">
        <v>0.48</v>
      </c>
      <c r="Q16" s="20">
        <v>0.47</v>
      </c>
      <c r="R16" s="20">
        <v>0.45</v>
      </c>
    </row>
    <row r="17" spans="2:18" ht="18" x14ac:dyDescent="0.25">
      <c r="B17" s="6"/>
      <c r="C17" s="4" t="s">
        <v>330</v>
      </c>
      <c r="D17" s="4"/>
      <c r="E17" s="20"/>
      <c r="F17" s="20"/>
      <c r="G17" s="4"/>
      <c r="H17" s="20"/>
      <c r="I17" s="20"/>
      <c r="J17" s="20"/>
      <c r="K17" s="20"/>
      <c r="L17" s="20"/>
      <c r="M17" s="4"/>
      <c r="N17" s="20"/>
      <c r="O17" s="20"/>
      <c r="P17" s="20"/>
      <c r="Q17" s="20"/>
      <c r="R17" s="20"/>
    </row>
    <row r="18" spans="2:18" x14ac:dyDescent="0.2">
      <c r="B18" s="20">
        <v>8</v>
      </c>
      <c r="C18" s="5" t="s">
        <v>326</v>
      </c>
      <c r="D18" s="5"/>
      <c r="E18" s="20">
        <v>0.52</v>
      </c>
      <c r="F18" s="20">
        <v>0.62</v>
      </c>
      <c r="G18" s="5"/>
      <c r="H18" s="20">
        <v>0.79</v>
      </c>
      <c r="I18" s="20">
        <v>0.61</v>
      </c>
      <c r="J18" s="20">
        <v>0.55000000000000004</v>
      </c>
      <c r="K18" s="20">
        <v>0.53</v>
      </c>
      <c r="L18" s="20">
        <v>0.48</v>
      </c>
      <c r="M18" s="5"/>
      <c r="N18" s="20">
        <v>0.66</v>
      </c>
      <c r="O18" s="20">
        <v>0.59</v>
      </c>
      <c r="P18" s="20">
        <v>0.54</v>
      </c>
      <c r="Q18" s="20">
        <v>0.53</v>
      </c>
      <c r="R18" s="20">
        <v>0.52</v>
      </c>
    </row>
    <row r="19" spans="2:18" x14ac:dyDescent="0.2">
      <c r="B19" s="20">
        <v>9</v>
      </c>
      <c r="C19" s="5" t="s">
        <v>327</v>
      </c>
      <c r="D19" s="5"/>
      <c r="E19" s="20">
        <v>0.44</v>
      </c>
      <c r="F19" s="20">
        <v>0.56000000000000005</v>
      </c>
      <c r="G19" s="5"/>
      <c r="H19" s="20">
        <v>0.72</v>
      </c>
      <c r="I19" s="20">
        <v>0.55000000000000004</v>
      </c>
      <c r="J19" s="20">
        <v>0.49</v>
      </c>
      <c r="K19" s="20">
        <v>0.48</v>
      </c>
      <c r="L19" s="20">
        <v>0.43</v>
      </c>
      <c r="M19" s="5"/>
      <c r="N19" s="20">
        <v>0.59</v>
      </c>
      <c r="O19" s="20">
        <v>0.53</v>
      </c>
      <c r="P19" s="20">
        <v>0.47</v>
      </c>
      <c r="Q19" s="20">
        <v>0.47</v>
      </c>
      <c r="R19" s="20">
        <v>0.44</v>
      </c>
    </row>
    <row r="20" spans="2:18" x14ac:dyDescent="0.2">
      <c r="B20" s="20">
        <v>10</v>
      </c>
      <c r="C20" s="5" t="s">
        <v>328</v>
      </c>
      <c r="D20" s="5"/>
      <c r="E20" s="20">
        <v>0.47</v>
      </c>
      <c r="F20" s="20">
        <v>0.57999999999999996</v>
      </c>
      <c r="G20" s="5"/>
      <c r="H20" s="20">
        <v>0.75</v>
      </c>
      <c r="I20" s="20">
        <v>0.56999999999999995</v>
      </c>
      <c r="J20" s="20">
        <v>0.51</v>
      </c>
      <c r="K20" s="20">
        <v>0.5</v>
      </c>
      <c r="L20" s="20">
        <v>0.45</v>
      </c>
      <c r="M20" s="5"/>
      <c r="N20" s="20">
        <v>0.61</v>
      </c>
      <c r="O20" s="20">
        <v>0.55000000000000004</v>
      </c>
      <c r="P20" s="20">
        <v>0.49</v>
      </c>
      <c r="Q20" s="20">
        <v>0.49</v>
      </c>
      <c r="R20" s="20">
        <v>0.47</v>
      </c>
    </row>
    <row r="21" spans="2:18" x14ac:dyDescent="0.2">
      <c r="B21" s="20">
        <v>11</v>
      </c>
      <c r="C21" s="5" t="s">
        <v>329</v>
      </c>
      <c r="D21" s="5"/>
      <c r="E21" s="20">
        <v>0.41</v>
      </c>
      <c r="F21" s="20">
        <v>0.54</v>
      </c>
      <c r="G21" s="5"/>
      <c r="H21" s="20">
        <v>0.7</v>
      </c>
      <c r="I21" s="20">
        <v>0.53</v>
      </c>
      <c r="J21" s="20">
        <v>0.47</v>
      </c>
      <c r="K21" s="20">
        <v>0.45</v>
      </c>
      <c r="L21" s="20">
        <v>0.41</v>
      </c>
      <c r="M21" s="5"/>
      <c r="N21" s="20">
        <v>0.56000000000000005</v>
      </c>
      <c r="O21" s="20">
        <v>0.5</v>
      </c>
      <c r="P21" s="20">
        <v>0.44</v>
      </c>
      <c r="Q21" s="20">
        <v>0.44</v>
      </c>
      <c r="R21" s="20">
        <v>0.41</v>
      </c>
    </row>
    <row r="22" spans="2:18" ht="18" x14ac:dyDescent="0.25">
      <c r="B22" s="6"/>
      <c r="C22" s="4" t="s">
        <v>331</v>
      </c>
      <c r="D22" s="4"/>
      <c r="E22" s="20"/>
      <c r="F22" s="20"/>
      <c r="G22" s="4"/>
      <c r="H22" s="20"/>
      <c r="I22" s="20"/>
      <c r="J22" s="20"/>
      <c r="K22" s="20"/>
      <c r="L22" s="20"/>
      <c r="M22" s="4"/>
      <c r="N22" s="20"/>
      <c r="O22" s="20"/>
      <c r="P22" s="20"/>
      <c r="Q22" s="20"/>
      <c r="R22" s="20"/>
    </row>
    <row r="23" spans="2:18" x14ac:dyDescent="0.2">
      <c r="B23" s="20">
        <v>12</v>
      </c>
      <c r="C23" s="5" t="s">
        <v>326</v>
      </c>
      <c r="D23" s="5"/>
      <c r="E23" s="20">
        <v>0.49</v>
      </c>
      <c r="F23" s="20">
        <v>0.6</v>
      </c>
      <c r="G23" s="5"/>
      <c r="H23" s="20">
        <v>0.76</v>
      </c>
      <c r="I23" s="20">
        <v>0.59</v>
      </c>
      <c r="J23" s="20">
        <v>0.53</v>
      </c>
      <c r="K23" s="20">
        <v>0.51</v>
      </c>
      <c r="L23" s="20">
        <v>0.46</v>
      </c>
      <c r="M23" s="5"/>
      <c r="N23" s="20">
        <v>0.63</v>
      </c>
      <c r="O23" s="20">
        <v>0.56999999999999995</v>
      </c>
      <c r="P23" s="20">
        <v>0.51</v>
      </c>
      <c r="Q23" s="20">
        <v>0.51</v>
      </c>
      <c r="R23" s="20">
        <v>0.49</v>
      </c>
    </row>
    <row r="24" spans="2:18" x14ac:dyDescent="0.2">
      <c r="B24" s="20">
        <v>13</v>
      </c>
      <c r="C24" s="5" t="s">
        <v>327</v>
      </c>
      <c r="D24" s="5"/>
      <c r="E24" s="20">
        <v>0.4</v>
      </c>
      <c r="F24" s="20">
        <v>0.54</v>
      </c>
      <c r="G24" s="5"/>
      <c r="H24" s="20">
        <v>0.69</v>
      </c>
      <c r="I24" s="20">
        <v>0.52</v>
      </c>
      <c r="J24" s="20">
        <v>0.47</v>
      </c>
      <c r="K24" s="20">
        <v>0.45</v>
      </c>
      <c r="L24" s="20">
        <v>0.4</v>
      </c>
      <c r="M24" s="5"/>
      <c r="N24" s="20">
        <v>0.55000000000000004</v>
      </c>
      <c r="O24" s="20">
        <v>0.49</v>
      </c>
      <c r="P24" s="20">
        <v>0.44</v>
      </c>
      <c r="Q24" s="20">
        <v>0.43</v>
      </c>
      <c r="R24" s="20">
        <v>0.4</v>
      </c>
    </row>
    <row r="25" spans="2:18" x14ac:dyDescent="0.2">
      <c r="B25" s="20">
        <v>14</v>
      </c>
      <c r="C25" s="5" t="s">
        <v>328</v>
      </c>
      <c r="D25" s="5"/>
      <c r="E25" s="20">
        <v>0.43</v>
      </c>
      <c r="F25" s="20">
        <v>0.56000000000000005</v>
      </c>
      <c r="G25" s="5"/>
      <c r="H25" s="20">
        <v>0.72</v>
      </c>
      <c r="I25" s="20">
        <v>0.54</v>
      </c>
      <c r="J25" s="20">
        <v>0.49</v>
      </c>
      <c r="K25" s="20">
        <v>0.47</v>
      </c>
      <c r="L25" s="20">
        <v>0.42</v>
      </c>
      <c r="M25" s="5"/>
      <c r="N25" s="20">
        <v>0.57999999999999996</v>
      </c>
      <c r="O25" s="20">
        <v>0.52</v>
      </c>
      <c r="P25" s="20">
        <v>0.46</v>
      </c>
      <c r="Q25" s="20">
        <v>0.46</v>
      </c>
      <c r="R25" s="20">
        <v>0.43</v>
      </c>
    </row>
    <row r="26" spans="2:18" x14ac:dyDescent="0.2">
      <c r="B26" s="20">
        <v>15</v>
      </c>
      <c r="C26" s="5" t="s">
        <v>329</v>
      </c>
      <c r="D26" s="5"/>
      <c r="E26" s="20">
        <v>0.36</v>
      </c>
      <c r="F26" s="20">
        <v>0.51</v>
      </c>
      <c r="G26" s="5"/>
      <c r="H26" s="20">
        <v>0.66</v>
      </c>
      <c r="I26" s="20">
        <v>0.49</v>
      </c>
      <c r="J26" s="20">
        <v>0.44</v>
      </c>
      <c r="K26" s="20">
        <v>0.42</v>
      </c>
      <c r="L26" s="20">
        <v>0.37</v>
      </c>
      <c r="M26" s="5"/>
      <c r="N26" s="20">
        <v>0.52</v>
      </c>
      <c r="O26" s="20">
        <v>0.46</v>
      </c>
      <c r="P26" s="20">
        <v>0.4</v>
      </c>
      <c r="Q26" s="20">
        <v>0.4</v>
      </c>
      <c r="R26" s="20">
        <v>0.36</v>
      </c>
    </row>
    <row r="27" spans="2:18" ht="18" x14ac:dyDescent="0.25">
      <c r="B27" s="6"/>
      <c r="C27" s="4" t="s">
        <v>332</v>
      </c>
      <c r="D27" s="4"/>
      <c r="E27" s="20"/>
      <c r="F27" s="20"/>
      <c r="G27" s="4"/>
      <c r="H27" s="20"/>
      <c r="I27" s="20"/>
      <c r="J27" s="20"/>
      <c r="K27" s="20"/>
      <c r="L27" s="20"/>
      <c r="M27" s="4"/>
      <c r="N27" s="20"/>
      <c r="O27" s="20"/>
      <c r="P27" s="20"/>
      <c r="Q27" s="20"/>
      <c r="R27" s="20"/>
    </row>
    <row r="28" spans="2:18" x14ac:dyDescent="0.2">
      <c r="B28" s="20">
        <v>16</v>
      </c>
      <c r="C28" s="5" t="s">
        <v>326</v>
      </c>
      <c r="D28" s="5"/>
      <c r="E28" s="20">
        <v>0.45</v>
      </c>
      <c r="F28" s="20">
        <v>0.56999999999999995</v>
      </c>
      <c r="G28" s="5"/>
      <c r="H28" s="20">
        <v>0.73</v>
      </c>
      <c r="I28" s="20">
        <v>0.56000000000000005</v>
      </c>
      <c r="J28" s="20">
        <v>0.5</v>
      </c>
      <c r="K28" s="20">
        <v>0.48</v>
      </c>
      <c r="L28" s="20">
        <v>0.43</v>
      </c>
      <c r="M28" s="5"/>
      <c r="N28" s="20">
        <v>0.6</v>
      </c>
      <c r="O28" s="20">
        <v>0.53</v>
      </c>
      <c r="P28" s="20">
        <v>0.48</v>
      </c>
      <c r="Q28" s="20">
        <v>0.47</v>
      </c>
      <c r="R28" s="20">
        <v>0.45</v>
      </c>
    </row>
    <row r="29" spans="2:18" x14ac:dyDescent="0.2">
      <c r="B29" s="20">
        <v>17</v>
      </c>
      <c r="C29" s="5" t="s">
        <v>327</v>
      </c>
      <c r="D29" s="5"/>
      <c r="E29" s="20">
        <v>0.35</v>
      </c>
      <c r="F29" s="20">
        <v>0.5</v>
      </c>
      <c r="G29" s="5"/>
      <c r="H29" s="20">
        <v>0.65</v>
      </c>
      <c r="I29" s="20">
        <v>0.48</v>
      </c>
      <c r="J29" s="20">
        <v>0.43</v>
      </c>
      <c r="K29" s="20">
        <v>0.41</v>
      </c>
      <c r="L29" s="20">
        <v>0.37</v>
      </c>
      <c r="M29" s="5"/>
      <c r="N29" s="20">
        <v>0.51</v>
      </c>
      <c r="O29" s="20">
        <v>0.45</v>
      </c>
      <c r="P29" s="20">
        <v>0.39</v>
      </c>
      <c r="Q29" s="20">
        <v>0.39</v>
      </c>
      <c r="R29" s="20">
        <v>0.35</v>
      </c>
    </row>
    <row r="30" spans="2:18" x14ac:dyDescent="0.2">
      <c r="B30" s="20">
        <v>18</v>
      </c>
      <c r="C30" s="5" t="s">
        <v>328</v>
      </c>
      <c r="D30" s="5"/>
      <c r="E30" s="20">
        <v>0.38</v>
      </c>
      <c r="F30" s="20">
        <v>0.52</v>
      </c>
      <c r="G30" s="5"/>
      <c r="H30" s="20">
        <v>0.68</v>
      </c>
      <c r="I30" s="20">
        <v>0.51</v>
      </c>
      <c r="J30" s="20">
        <v>0.45</v>
      </c>
      <c r="K30" s="20">
        <v>0.43</v>
      </c>
      <c r="L30" s="20">
        <v>0.39</v>
      </c>
      <c r="M30" s="5"/>
      <c r="N30" s="20">
        <v>0.54</v>
      </c>
      <c r="O30" s="20">
        <v>0.47</v>
      </c>
      <c r="P30" s="20">
        <v>0.42</v>
      </c>
      <c r="Q30" s="20">
        <v>0.42</v>
      </c>
      <c r="R30" s="20">
        <v>0.38</v>
      </c>
    </row>
    <row r="31" spans="2:18" x14ac:dyDescent="0.2">
      <c r="B31" s="20">
        <v>19</v>
      </c>
      <c r="C31" s="5" t="s">
        <v>329</v>
      </c>
      <c r="D31" s="5"/>
      <c r="E31" s="20">
        <v>0.3</v>
      </c>
      <c r="F31" s="20">
        <v>0.46</v>
      </c>
      <c r="G31" s="5"/>
      <c r="H31" s="20">
        <v>0.61</v>
      </c>
      <c r="I31" s="20">
        <v>0.45</v>
      </c>
      <c r="J31" s="20">
        <v>0.39</v>
      </c>
      <c r="K31" s="20">
        <v>0.38</v>
      </c>
      <c r="L31" s="20">
        <v>0.33</v>
      </c>
      <c r="M31" s="5"/>
      <c r="N31" s="20">
        <v>0.47</v>
      </c>
      <c r="O31" s="20">
        <v>0.41</v>
      </c>
      <c r="P31" s="20">
        <v>0.35</v>
      </c>
      <c r="Q31" s="20">
        <v>0.35</v>
      </c>
      <c r="R31" s="20">
        <v>0.3</v>
      </c>
    </row>
    <row r="32" spans="2:18" ht="18" x14ac:dyDescent="0.25">
      <c r="B32" s="6"/>
      <c r="C32" s="4" t="s">
        <v>333</v>
      </c>
      <c r="D32" s="4"/>
      <c r="E32" s="20"/>
      <c r="F32" s="20"/>
      <c r="G32" s="4"/>
      <c r="H32" s="20"/>
      <c r="I32" s="20"/>
      <c r="J32" s="20"/>
      <c r="K32" s="20"/>
      <c r="L32" s="20"/>
      <c r="M32" s="4"/>
      <c r="N32" s="20"/>
      <c r="O32" s="20"/>
      <c r="P32" s="20"/>
      <c r="Q32" s="20"/>
      <c r="R32" s="20"/>
    </row>
    <row r="33" spans="2:18" x14ac:dyDescent="0.2">
      <c r="B33" s="20">
        <v>20</v>
      </c>
      <c r="C33" s="5" t="s">
        <v>326</v>
      </c>
      <c r="D33" s="5"/>
      <c r="E33" s="20">
        <v>0.42</v>
      </c>
      <c r="F33" s="20">
        <v>0.55000000000000004</v>
      </c>
      <c r="G33" s="5"/>
      <c r="H33" s="20">
        <v>0.71</v>
      </c>
      <c r="I33" s="20">
        <v>0.54</v>
      </c>
      <c r="J33" s="20">
        <v>0.48</v>
      </c>
      <c r="K33" s="20">
        <v>0.46</v>
      </c>
      <c r="L33" s="20">
        <v>0.41</v>
      </c>
      <c r="M33" s="5"/>
      <c r="N33" s="20">
        <v>0.56999999999999995</v>
      </c>
      <c r="O33" s="20">
        <v>0.51</v>
      </c>
      <c r="P33" s="20">
        <v>0.45</v>
      </c>
      <c r="Q33" s="20">
        <v>0.45</v>
      </c>
      <c r="R33" s="20">
        <v>0.42</v>
      </c>
    </row>
    <row r="34" spans="2:18" x14ac:dyDescent="0.2">
      <c r="B34" s="20">
        <v>21</v>
      </c>
      <c r="C34" s="5" t="s">
        <v>327</v>
      </c>
      <c r="D34" s="5"/>
      <c r="E34" s="20">
        <v>0.32</v>
      </c>
      <c r="F34" s="20">
        <v>0.48</v>
      </c>
      <c r="G34" s="5"/>
      <c r="H34" s="20">
        <v>0.63</v>
      </c>
      <c r="I34" s="20">
        <v>0.46</v>
      </c>
      <c r="J34" s="20">
        <v>0.41</v>
      </c>
      <c r="K34" s="20">
        <v>0.39</v>
      </c>
      <c r="L34" s="20">
        <v>0.34</v>
      </c>
      <c r="M34" s="5"/>
      <c r="N34" s="20">
        <v>0.49</v>
      </c>
      <c r="O34" s="20">
        <v>0.42</v>
      </c>
      <c r="P34" s="20">
        <v>0.37</v>
      </c>
      <c r="Q34" s="20">
        <v>0.37</v>
      </c>
      <c r="R34" s="20">
        <v>0.32</v>
      </c>
    </row>
    <row r="35" spans="2:18" x14ac:dyDescent="0.2">
      <c r="B35" s="20">
        <v>22</v>
      </c>
      <c r="C35" s="5" t="s">
        <v>328</v>
      </c>
      <c r="D35" s="5"/>
      <c r="E35" s="20">
        <v>0.35</v>
      </c>
      <c r="F35" s="20">
        <v>0.5</v>
      </c>
      <c r="G35" s="5"/>
      <c r="H35" s="20">
        <v>0.65</v>
      </c>
      <c r="I35" s="20">
        <v>0.48</v>
      </c>
      <c r="J35" s="20">
        <v>0.43</v>
      </c>
      <c r="K35" s="20">
        <v>0.41</v>
      </c>
      <c r="L35" s="20">
        <v>0.37</v>
      </c>
      <c r="M35" s="5"/>
      <c r="N35" s="20">
        <v>0.51</v>
      </c>
      <c r="O35" s="20">
        <v>0.45</v>
      </c>
      <c r="P35" s="20">
        <v>0.39</v>
      </c>
      <c r="Q35" s="20">
        <v>0.39</v>
      </c>
      <c r="R35" s="20">
        <v>0.35</v>
      </c>
    </row>
    <row r="36" spans="2:18" x14ac:dyDescent="0.2">
      <c r="B36" s="20">
        <v>23</v>
      </c>
      <c r="C36" s="5" t="s">
        <v>329</v>
      </c>
      <c r="D36" s="5"/>
      <c r="E36" s="20">
        <v>0.27</v>
      </c>
      <c r="F36" s="20">
        <v>0.44</v>
      </c>
      <c r="G36" s="5"/>
      <c r="H36" s="20">
        <v>0.59</v>
      </c>
      <c r="I36" s="20">
        <v>0.42</v>
      </c>
      <c r="J36" s="20">
        <v>0.37</v>
      </c>
      <c r="K36" s="20">
        <v>0.36</v>
      </c>
      <c r="L36" s="20">
        <v>0.31</v>
      </c>
      <c r="M36" s="5"/>
      <c r="N36" s="20">
        <v>0.44</v>
      </c>
      <c r="O36" s="20">
        <v>0.38</v>
      </c>
      <c r="P36" s="20">
        <v>0.33</v>
      </c>
      <c r="Q36" s="20">
        <v>0.32</v>
      </c>
      <c r="R36" s="20">
        <v>0.27</v>
      </c>
    </row>
    <row r="37" spans="2:18" ht="18" x14ac:dyDescent="0.25">
      <c r="B37" s="6"/>
      <c r="C37" s="4" t="s">
        <v>334</v>
      </c>
      <c r="D37" s="4"/>
      <c r="E37" s="20"/>
      <c r="F37" s="20"/>
      <c r="G37" s="4"/>
      <c r="H37" s="20"/>
      <c r="I37" s="20"/>
      <c r="J37" s="20"/>
      <c r="K37" s="20"/>
      <c r="L37" s="20"/>
      <c r="M37" s="4"/>
      <c r="N37" s="20"/>
      <c r="O37" s="20"/>
      <c r="P37" s="20"/>
      <c r="Q37" s="20"/>
      <c r="R37" s="20"/>
    </row>
    <row r="38" spans="2:18" x14ac:dyDescent="0.2">
      <c r="B38" s="20">
        <v>24</v>
      </c>
      <c r="C38" s="5" t="s">
        <v>326</v>
      </c>
      <c r="D38" s="5"/>
      <c r="E38" s="20">
        <v>0.41</v>
      </c>
      <c r="F38" s="20">
        <v>0.54</v>
      </c>
      <c r="G38" s="5"/>
      <c r="H38" s="12">
        <v>0.7</v>
      </c>
      <c r="I38" s="20">
        <v>0.53</v>
      </c>
      <c r="J38" s="20">
        <v>0.47</v>
      </c>
      <c r="K38" s="20">
        <v>0.45</v>
      </c>
      <c r="L38" s="20">
        <v>0.41</v>
      </c>
      <c r="M38" s="5"/>
      <c r="N38" s="20">
        <v>0.56000000000000005</v>
      </c>
      <c r="O38" s="20">
        <v>0.5</v>
      </c>
      <c r="P38" s="20">
        <v>0.44</v>
      </c>
      <c r="Q38" s="20">
        <v>0.44</v>
      </c>
      <c r="R38" s="20">
        <v>0.41</v>
      </c>
    </row>
    <row r="39" spans="2:18" x14ac:dyDescent="0.2">
      <c r="B39" s="20">
        <v>25</v>
      </c>
      <c r="C39" s="5" t="s">
        <v>327</v>
      </c>
      <c r="D39" s="5"/>
      <c r="E39" s="20">
        <v>0.3</v>
      </c>
      <c r="F39" s="20">
        <v>0.46</v>
      </c>
      <c r="G39" s="5"/>
      <c r="H39" s="12">
        <v>0.61</v>
      </c>
      <c r="I39" s="20">
        <v>0.45</v>
      </c>
      <c r="J39" s="20">
        <v>0.39</v>
      </c>
      <c r="K39" s="20">
        <v>0.38</v>
      </c>
      <c r="L39" s="20">
        <v>0.33</v>
      </c>
      <c r="M39" s="5"/>
      <c r="N39" s="20">
        <v>0.47</v>
      </c>
      <c r="O39" s="20">
        <v>0.41</v>
      </c>
      <c r="P39" s="20">
        <v>0.35</v>
      </c>
      <c r="Q39" s="20">
        <v>0.35</v>
      </c>
      <c r="R39" s="20">
        <v>0.3</v>
      </c>
    </row>
    <row r="40" spans="2:18" x14ac:dyDescent="0.2">
      <c r="B40" s="20">
        <v>26</v>
      </c>
      <c r="C40" s="5" t="s">
        <v>328</v>
      </c>
      <c r="D40" s="5"/>
      <c r="E40" s="20">
        <v>0.33</v>
      </c>
      <c r="F40" s="20">
        <v>0.48</v>
      </c>
      <c r="G40" s="5"/>
      <c r="H40" s="12">
        <v>0.64</v>
      </c>
      <c r="I40" s="20">
        <v>0.47</v>
      </c>
      <c r="J40" s="20">
        <v>0.42</v>
      </c>
      <c r="K40" s="20">
        <v>0.4</v>
      </c>
      <c r="L40" s="20">
        <v>0.35</v>
      </c>
      <c r="M40" s="5"/>
      <c r="N40" s="20">
        <v>0.49</v>
      </c>
      <c r="O40" s="20">
        <v>0.43</v>
      </c>
      <c r="P40" s="20">
        <v>0.38</v>
      </c>
      <c r="Q40" s="20">
        <v>0.37</v>
      </c>
      <c r="R40" s="20">
        <v>0.33</v>
      </c>
    </row>
    <row r="41" spans="2:18" x14ac:dyDescent="0.2">
      <c r="B41" s="20">
        <v>27</v>
      </c>
      <c r="C41" s="5" t="s">
        <v>329</v>
      </c>
      <c r="D41" s="5"/>
      <c r="E41" s="20">
        <v>0.25</v>
      </c>
      <c r="F41" s="20">
        <v>0.42</v>
      </c>
      <c r="G41" s="5"/>
      <c r="H41" s="12">
        <v>0.56999999999999995</v>
      </c>
      <c r="I41" s="20">
        <v>0.41</v>
      </c>
      <c r="J41" s="20">
        <v>0.36</v>
      </c>
      <c r="K41" s="20">
        <v>0.34</v>
      </c>
      <c r="L41" s="20">
        <v>0.3</v>
      </c>
      <c r="M41" s="5"/>
      <c r="N41" s="20">
        <v>0.43</v>
      </c>
      <c r="O41" s="20">
        <v>0.36</v>
      </c>
      <c r="P41" s="20">
        <v>0.31</v>
      </c>
      <c r="Q41" s="20">
        <v>0.31</v>
      </c>
      <c r="R41" s="20">
        <v>0.25</v>
      </c>
    </row>
    <row r="42" spans="2:18" ht="18" x14ac:dyDescent="0.25">
      <c r="C42" s="4" t="s">
        <v>335</v>
      </c>
    </row>
    <row r="43" spans="2:18" x14ac:dyDescent="0.2">
      <c r="B43" s="20">
        <v>28</v>
      </c>
      <c r="C43" s="5" t="s">
        <v>326</v>
      </c>
      <c r="E43" s="20">
        <v>0.38</v>
      </c>
      <c r="F43" s="20">
        <v>0.52</v>
      </c>
      <c r="H43" s="12">
        <v>0.67</v>
      </c>
      <c r="I43" s="12">
        <v>0.49</v>
      </c>
      <c r="J43" s="12">
        <v>0.43</v>
      </c>
      <c r="K43" s="12">
        <v>0.43</v>
      </c>
      <c r="L43" s="12">
        <v>0.38</v>
      </c>
      <c r="N43" s="12">
        <v>0.53</v>
      </c>
      <c r="O43" s="12">
        <v>0.47</v>
      </c>
      <c r="P43" s="12">
        <v>0.42</v>
      </c>
      <c r="Q43" s="12">
        <v>0.42</v>
      </c>
      <c r="R43" s="12">
        <v>0.38</v>
      </c>
    </row>
    <row r="44" spans="2:18" x14ac:dyDescent="0.2">
      <c r="B44" s="20">
        <v>29</v>
      </c>
      <c r="C44" s="5" t="s">
        <v>327</v>
      </c>
      <c r="E44" s="20">
        <v>0.31</v>
      </c>
      <c r="F44" s="20">
        <v>0.47</v>
      </c>
      <c r="H44" s="12">
        <v>0.61</v>
      </c>
      <c r="I44" s="12">
        <v>0.44</v>
      </c>
      <c r="J44" s="12">
        <v>0.38</v>
      </c>
      <c r="K44" s="12">
        <v>0.38</v>
      </c>
      <c r="L44" s="12">
        <v>0.34</v>
      </c>
      <c r="M44" s="12"/>
      <c r="N44" s="12">
        <v>0.47</v>
      </c>
      <c r="O44" s="12">
        <v>0.41</v>
      </c>
      <c r="P44" s="12">
        <v>0.36</v>
      </c>
      <c r="Q44" s="12">
        <v>0.36</v>
      </c>
      <c r="R44" s="12">
        <v>0.31</v>
      </c>
    </row>
    <row r="45" spans="2:18" x14ac:dyDescent="0.2">
      <c r="B45" s="20">
        <v>30</v>
      </c>
      <c r="C45" s="5" t="s">
        <v>328</v>
      </c>
      <c r="E45" s="20">
        <v>0.34</v>
      </c>
      <c r="F45" s="20">
        <v>0.49</v>
      </c>
      <c r="H45" s="12">
        <v>0.63</v>
      </c>
      <c r="I45" s="12">
        <v>0.46</v>
      </c>
      <c r="J45" s="12">
        <v>0.41</v>
      </c>
      <c r="K45" s="12">
        <v>0.4</v>
      </c>
      <c r="L45" s="12">
        <v>0.36</v>
      </c>
      <c r="M45" s="12"/>
      <c r="N45" s="12">
        <v>0.5</v>
      </c>
      <c r="O45" s="12">
        <v>0.44</v>
      </c>
      <c r="P45" s="12">
        <v>0.38</v>
      </c>
      <c r="Q45" s="12">
        <v>0.38</v>
      </c>
      <c r="R45" s="12">
        <v>0.34</v>
      </c>
    </row>
    <row r="46" spans="2:18" x14ac:dyDescent="0.2">
      <c r="B46" s="20">
        <v>31</v>
      </c>
      <c r="C46" s="5" t="s">
        <v>329</v>
      </c>
      <c r="E46" s="20">
        <v>0.28999999999999998</v>
      </c>
      <c r="F46" s="20">
        <v>0.45</v>
      </c>
      <c r="H46" s="12">
        <v>0.59</v>
      </c>
      <c r="I46" s="12">
        <v>0.42</v>
      </c>
      <c r="J46" s="12">
        <v>0.37</v>
      </c>
      <c r="K46" s="12">
        <v>0.36</v>
      </c>
      <c r="L46" s="12">
        <v>0.32</v>
      </c>
      <c r="M46" s="12"/>
      <c r="N46" s="12">
        <v>0.45</v>
      </c>
      <c r="O46" s="12">
        <v>0.4</v>
      </c>
      <c r="P46" s="12">
        <v>0.34</v>
      </c>
      <c r="Q46" s="12">
        <v>0.34</v>
      </c>
      <c r="R46" s="12">
        <v>0.28999999999999998</v>
      </c>
    </row>
    <row r="47" spans="2:18" ht="18" x14ac:dyDescent="0.25">
      <c r="B47" s="20"/>
      <c r="C47" s="4" t="s">
        <v>336</v>
      </c>
      <c r="E47" s="20"/>
      <c r="F47" s="20"/>
      <c r="H47" s="12"/>
      <c r="I47" s="12"/>
      <c r="J47" s="12"/>
      <c r="K47" s="12"/>
      <c r="L47" s="12"/>
      <c r="M47" s="12"/>
      <c r="N47" s="12"/>
      <c r="O47" s="12"/>
      <c r="P47" s="12"/>
      <c r="Q47" s="12"/>
      <c r="R47" s="12"/>
    </row>
    <row r="48" spans="2:18" x14ac:dyDescent="0.2">
      <c r="B48" s="20">
        <v>32</v>
      </c>
      <c r="C48" s="5" t="s">
        <v>326</v>
      </c>
      <c r="E48" s="20">
        <v>0.33</v>
      </c>
      <c r="F48" s="20">
        <v>0.48</v>
      </c>
      <c r="H48" s="12">
        <v>0.62</v>
      </c>
      <c r="I48" s="12">
        <v>0.45</v>
      </c>
      <c r="J48" s="12">
        <v>0.4</v>
      </c>
      <c r="K48" s="12">
        <v>0.39</v>
      </c>
      <c r="L48" s="12">
        <v>0.35</v>
      </c>
      <c r="M48" s="12"/>
      <c r="N48" s="12">
        <v>0.49</v>
      </c>
      <c r="O48" s="12">
        <v>0.43</v>
      </c>
      <c r="P48" s="12">
        <v>0.37</v>
      </c>
      <c r="Q48" s="12">
        <v>0.37</v>
      </c>
      <c r="R48" s="12">
        <v>0.33</v>
      </c>
    </row>
    <row r="49" spans="2:18" x14ac:dyDescent="0.2">
      <c r="B49" s="20">
        <v>33</v>
      </c>
      <c r="C49" s="5" t="s">
        <v>327</v>
      </c>
      <c r="E49" s="20">
        <v>0.25</v>
      </c>
      <c r="F49" s="20">
        <v>0.42</v>
      </c>
      <c r="H49" s="12">
        <v>0.56000000000000005</v>
      </c>
      <c r="I49" s="12">
        <v>0.39</v>
      </c>
      <c r="J49" s="12">
        <v>0.34</v>
      </c>
      <c r="K49" s="12">
        <v>0.33</v>
      </c>
      <c r="L49" s="12">
        <v>0.28999999999999998</v>
      </c>
      <c r="M49" s="12"/>
      <c r="N49" s="12">
        <v>0.42</v>
      </c>
      <c r="O49" s="12">
        <v>0.36</v>
      </c>
      <c r="P49" s="12">
        <v>0.31</v>
      </c>
      <c r="Q49" s="12">
        <v>0.31</v>
      </c>
      <c r="R49" s="12">
        <v>0.25</v>
      </c>
    </row>
    <row r="50" spans="2:18" x14ac:dyDescent="0.2">
      <c r="B50" s="20">
        <v>34</v>
      </c>
      <c r="C50" s="5" t="s">
        <v>328</v>
      </c>
      <c r="E50" s="20">
        <v>0.28000000000000003</v>
      </c>
      <c r="F50" s="20">
        <v>0.45</v>
      </c>
      <c r="H50" s="12">
        <v>0.57999999999999996</v>
      </c>
      <c r="I50" s="12">
        <v>0.41</v>
      </c>
      <c r="J50" s="12">
        <v>0.36</v>
      </c>
      <c r="K50" s="12">
        <v>0.36</v>
      </c>
      <c r="L50" s="12">
        <v>0.31</v>
      </c>
      <c r="M50" s="12"/>
      <c r="N50" s="12">
        <v>0.45</v>
      </c>
      <c r="O50" s="12">
        <v>0.39</v>
      </c>
      <c r="P50" s="12">
        <v>0.33</v>
      </c>
      <c r="Q50" s="12">
        <v>0.33</v>
      </c>
      <c r="R50" s="12">
        <v>0.28000000000000003</v>
      </c>
    </row>
    <row r="51" spans="2:18" x14ac:dyDescent="0.2">
      <c r="B51" s="20">
        <v>35</v>
      </c>
      <c r="C51" s="5" t="s">
        <v>329</v>
      </c>
      <c r="E51" s="20">
        <v>0.22</v>
      </c>
      <c r="F51" s="20">
        <v>0.4</v>
      </c>
      <c r="H51" s="12">
        <v>0.54</v>
      </c>
      <c r="I51" s="12">
        <v>0.37</v>
      </c>
      <c r="J51" s="12">
        <v>0.32</v>
      </c>
      <c r="K51" s="12">
        <v>0.31</v>
      </c>
      <c r="L51" s="12">
        <v>0.27</v>
      </c>
      <c r="M51" s="12"/>
      <c r="N51" s="12">
        <v>0.39</v>
      </c>
      <c r="O51" s="12">
        <v>0.33</v>
      </c>
      <c r="P51" s="12">
        <v>0.28000000000000003</v>
      </c>
      <c r="Q51" s="12">
        <v>0.28000000000000003</v>
      </c>
      <c r="R51" s="12">
        <v>0.22</v>
      </c>
    </row>
    <row r="52" spans="2:18" ht="18" x14ac:dyDescent="0.25">
      <c r="C52" s="4" t="s">
        <v>337</v>
      </c>
      <c r="H52" s="12"/>
      <c r="I52" s="12"/>
      <c r="J52" s="12"/>
      <c r="K52" s="12"/>
      <c r="L52" s="12"/>
      <c r="M52" s="12"/>
      <c r="N52" s="12"/>
      <c r="O52" s="12"/>
      <c r="P52" s="12"/>
      <c r="Q52" s="12"/>
      <c r="R52" s="12"/>
    </row>
    <row r="53" spans="2:18" x14ac:dyDescent="0.2">
      <c r="B53" s="20">
        <v>36</v>
      </c>
      <c r="C53" s="5" t="s">
        <v>326</v>
      </c>
      <c r="E53" s="12">
        <v>0.28999999999999998</v>
      </c>
      <c r="F53" s="20">
        <v>0.45</v>
      </c>
      <c r="H53" s="12">
        <v>0.59</v>
      </c>
      <c r="I53" s="12">
        <v>0.42</v>
      </c>
      <c r="J53" s="12">
        <v>0.37</v>
      </c>
      <c r="K53" s="12">
        <v>0.36</v>
      </c>
      <c r="L53" s="12">
        <v>0.32</v>
      </c>
      <c r="M53" s="12"/>
      <c r="N53" s="12">
        <v>0.45</v>
      </c>
      <c r="O53" s="12">
        <v>0.4</v>
      </c>
      <c r="P53" s="12">
        <v>0.34</v>
      </c>
      <c r="Q53" s="12">
        <v>0.34</v>
      </c>
      <c r="R53" s="12">
        <v>0.28999999999999998</v>
      </c>
    </row>
    <row r="54" spans="2:18" x14ac:dyDescent="0.2">
      <c r="B54" s="20">
        <v>37</v>
      </c>
      <c r="C54" s="5" t="s">
        <v>327</v>
      </c>
      <c r="E54" s="12">
        <v>0.2</v>
      </c>
      <c r="F54" s="20">
        <v>0.39</v>
      </c>
      <c r="H54" s="12">
        <v>0.52</v>
      </c>
      <c r="I54" s="12">
        <v>0.35</v>
      </c>
      <c r="J54" s="12">
        <v>0.31</v>
      </c>
      <c r="K54" s="12">
        <v>0.3</v>
      </c>
      <c r="L54" s="12">
        <v>0.26</v>
      </c>
      <c r="M54" s="12"/>
      <c r="N54" s="12">
        <v>0.38</v>
      </c>
      <c r="O54" s="12">
        <v>0.32</v>
      </c>
      <c r="P54" s="12">
        <v>0.26</v>
      </c>
      <c r="Q54" s="12">
        <v>0.26</v>
      </c>
      <c r="R54" s="12">
        <v>0.2</v>
      </c>
    </row>
    <row r="55" spans="2:18" x14ac:dyDescent="0.2">
      <c r="B55" s="20">
        <v>38</v>
      </c>
      <c r="C55" s="5" t="s">
        <v>328</v>
      </c>
      <c r="E55" s="12">
        <v>0.23</v>
      </c>
      <c r="F55" s="20">
        <v>0.41</v>
      </c>
      <c r="H55" s="12">
        <v>0.54</v>
      </c>
      <c r="I55" s="12">
        <v>0.37</v>
      </c>
      <c r="J55" s="12">
        <v>0.33</v>
      </c>
      <c r="K55" s="12">
        <v>0.32</v>
      </c>
      <c r="L55" s="12">
        <v>0.28000000000000003</v>
      </c>
      <c r="M55" s="12"/>
      <c r="N55" s="12">
        <v>0.4</v>
      </c>
      <c r="O55" s="12">
        <v>0.34</v>
      </c>
      <c r="P55" s="12">
        <v>0.28999999999999998</v>
      </c>
      <c r="Q55" s="12">
        <v>0.28999999999999998</v>
      </c>
      <c r="R55" s="12">
        <v>0.23</v>
      </c>
    </row>
    <row r="56" spans="2:18" x14ac:dyDescent="0.2">
      <c r="B56" s="20">
        <v>39</v>
      </c>
      <c r="C56" s="5" t="s">
        <v>329</v>
      </c>
      <c r="E56" s="12">
        <v>0.17</v>
      </c>
      <c r="F56" s="20">
        <v>0.36</v>
      </c>
      <c r="H56" s="12">
        <v>0.49</v>
      </c>
      <c r="I56" s="12">
        <v>0.33</v>
      </c>
      <c r="J56" s="12">
        <v>0.28000000000000003</v>
      </c>
      <c r="K56" s="12">
        <v>0.28000000000000003</v>
      </c>
      <c r="L56" s="12">
        <v>0.24</v>
      </c>
      <c r="M56" s="12"/>
      <c r="N56" s="12">
        <v>0.35</v>
      </c>
      <c r="O56" s="12">
        <v>0.28999999999999998</v>
      </c>
      <c r="P56" s="12">
        <v>0.24</v>
      </c>
      <c r="Q56" s="12">
        <v>0.24</v>
      </c>
      <c r="R56" s="12">
        <v>0.17</v>
      </c>
    </row>
    <row r="57" spans="2:18" ht="18" x14ac:dyDescent="0.25">
      <c r="C57" s="4" t="s">
        <v>338</v>
      </c>
      <c r="H57" s="12"/>
      <c r="I57" s="12"/>
      <c r="J57" s="12"/>
      <c r="K57" s="12"/>
      <c r="L57" s="12"/>
      <c r="M57" s="12"/>
      <c r="N57" s="12"/>
      <c r="O57" s="12"/>
      <c r="P57" s="12"/>
      <c r="Q57" s="12"/>
      <c r="R57" s="12"/>
    </row>
    <row r="58" spans="2:18" x14ac:dyDescent="0.2">
      <c r="B58" s="20">
        <v>40</v>
      </c>
      <c r="C58" s="5" t="s">
        <v>326</v>
      </c>
      <c r="E58" s="20">
        <v>0.27</v>
      </c>
      <c r="F58" s="20">
        <v>0.44</v>
      </c>
      <c r="H58" s="12">
        <v>0.57999999999999996</v>
      </c>
      <c r="I58" s="12">
        <v>0.4</v>
      </c>
      <c r="J58" s="12">
        <v>0.36</v>
      </c>
      <c r="K58" s="12">
        <v>0.35</v>
      </c>
      <c r="L58" s="12">
        <v>0.31</v>
      </c>
      <c r="M58" s="12"/>
      <c r="N58" s="12">
        <v>0.44</v>
      </c>
      <c r="O58" s="12">
        <v>0.38</v>
      </c>
      <c r="P58" s="12">
        <v>0.32</v>
      </c>
      <c r="Q58" s="12">
        <v>0.32</v>
      </c>
      <c r="R58" s="12">
        <v>0.27</v>
      </c>
    </row>
    <row r="59" spans="2:18" x14ac:dyDescent="0.2">
      <c r="B59" s="20">
        <v>41</v>
      </c>
      <c r="C59" s="5" t="s">
        <v>327</v>
      </c>
      <c r="E59" s="20">
        <v>0.18</v>
      </c>
      <c r="F59" s="20">
        <v>0.37</v>
      </c>
      <c r="H59" s="12">
        <v>0.5</v>
      </c>
      <c r="I59" s="12">
        <v>0.34</v>
      </c>
      <c r="J59" s="12">
        <v>0.28999999999999998</v>
      </c>
      <c r="K59" s="12">
        <v>0.28000000000000003</v>
      </c>
      <c r="L59" s="12">
        <v>0.25</v>
      </c>
      <c r="M59" s="12"/>
      <c r="N59" s="12">
        <v>0.36</v>
      </c>
      <c r="O59" s="12">
        <v>0.3</v>
      </c>
      <c r="P59" s="12">
        <v>0.25</v>
      </c>
      <c r="Q59" s="12">
        <v>0.25</v>
      </c>
      <c r="R59" s="12">
        <v>0.18</v>
      </c>
    </row>
    <row r="60" spans="2:18" x14ac:dyDescent="0.2">
      <c r="B60" s="20">
        <v>42</v>
      </c>
      <c r="C60" s="5" t="s">
        <v>328</v>
      </c>
      <c r="E60" s="20">
        <v>0.21</v>
      </c>
      <c r="F60" s="20">
        <v>0.39</v>
      </c>
      <c r="H60" s="12">
        <v>0.53</v>
      </c>
      <c r="I60" s="12">
        <v>0.36</v>
      </c>
      <c r="J60" s="12">
        <v>0.31</v>
      </c>
      <c r="K60" s="12">
        <v>0.31</v>
      </c>
      <c r="L60" s="12">
        <v>0.27</v>
      </c>
      <c r="M60" s="12"/>
      <c r="N60" s="12">
        <v>0.38</v>
      </c>
      <c r="O60" s="12">
        <v>0.33</v>
      </c>
      <c r="P60" s="12">
        <v>0.27</v>
      </c>
      <c r="Q60" s="12">
        <v>0.27</v>
      </c>
      <c r="R60" s="12">
        <v>0.21</v>
      </c>
    </row>
    <row r="61" spans="2:18" x14ac:dyDescent="0.2">
      <c r="B61" s="20">
        <v>43</v>
      </c>
      <c r="C61" s="5" t="s">
        <v>329</v>
      </c>
      <c r="E61" s="20">
        <v>0.14000000000000001</v>
      </c>
      <c r="F61" s="20">
        <v>0.34</v>
      </c>
      <c r="H61" s="12">
        <v>0.47</v>
      </c>
      <c r="I61" s="12">
        <v>0.3</v>
      </c>
      <c r="J61" s="12">
        <v>0.26</v>
      </c>
      <c r="K61" s="12">
        <v>0.26</v>
      </c>
      <c r="L61" s="12">
        <v>0.22</v>
      </c>
      <c r="M61" s="12"/>
      <c r="N61" s="12">
        <v>0.32</v>
      </c>
      <c r="O61" s="12">
        <v>0.27</v>
      </c>
      <c r="P61" s="12">
        <v>0.21</v>
      </c>
      <c r="Q61" s="12">
        <v>0.21</v>
      </c>
      <c r="R61" s="12">
        <v>0.14000000000000001</v>
      </c>
    </row>
    <row r="65" spans="2:2" x14ac:dyDescent="0.2">
      <c r="B65" t="s">
        <v>339</v>
      </c>
    </row>
  </sheetData>
  <mergeCells count="21">
    <mergeCell ref="L6:L7"/>
    <mergeCell ref="N6:N7"/>
    <mergeCell ref="O6:O7"/>
    <mergeCell ref="P6:P7"/>
    <mergeCell ref="Q6:Q7"/>
    <mergeCell ref="J6:J7"/>
    <mergeCell ref="B2:R2"/>
    <mergeCell ref="H3:R3"/>
    <mergeCell ref="H4:L4"/>
    <mergeCell ref="N4:R4"/>
    <mergeCell ref="B5:C5"/>
    <mergeCell ref="E5:F5"/>
    <mergeCell ref="H5:L5"/>
    <mergeCell ref="N5:R5"/>
    <mergeCell ref="B6:C6"/>
    <mergeCell ref="E6:E7"/>
    <mergeCell ref="F6:F7"/>
    <mergeCell ref="H6:H7"/>
    <mergeCell ref="I6:I7"/>
    <mergeCell ref="R6:R7"/>
    <mergeCell ref="K6:K7"/>
  </mergeCells>
  <pageMargins left="0.7" right="0.7" top="0.75" bottom="0.75" header="0.3" footer="0.3"/>
  <pageSetup scale="50" orientation="landscape" r:id="rId1"/>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12">
    <tabColor rgb="FF95D8F5"/>
  </sheetPr>
  <dimension ref="A1:O1048467"/>
  <sheetViews>
    <sheetView showGridLines="0" workbookViewId="0">
      <pane ySplit="1" topLeftCell="A2" activePane="bottomLeft" state="frozen"/>
      <selection activeCell="K34" sqref="K34"/>
      <selection pane="bottomLeft" activeCell="K34" sqref="K34"/>
    </sheetView>
  </sheetViews>
  <sheetFormatPr baseColWidth="10" defaultColWidth="11" defaultRowHeight="14.25" x14ac:dyDescent="0.2"/>
  <cols>
    <col min="1" max="1" width="6.875" customWidth="1"/>
    <col min="2" max="2" width="13.5" customWidth="1"/>
    <col min="3" max="3" width="12.875" customWidth="1"/>
    <col min="4" max="4" width="25.875" customWidth="1"/>
    <col min="5" max="5" width="14.375" customWidth="1"/>
    <col min="6" max="6" width="8.875" customWidth="1"/>
    <col min="7" max="7" width="13.625" customWidth="1"/>
    <col min="8" max="8" width="12.375" customWidth="1"/>
    <col min="9" max="9" width="13.125" customWidth="1"/>
    <col min="10" max="10" width="11.875" customWidth="1"/>
    <col min="15" max="15" width="12.125" customWidth="1"/>
  </cols>
  <sheetData>
    <row r="1" spans="1:15" ht="15" x14ac:dyDescent="0.25">
      <c r="A1" s="15" t="s">
        <v>340</v>
      </c>
      <c r="B1" s="10" t="s">
        <v>73</v>
      </c>
      <c r="C1" s="24" t="s">
        <v>273</v>
      </c>
      <c r="D1" s="10" t="s">
        <v>289</v>
      </c>
      <c r="E1" s="10" t="s">
        <v>75</v>
      </c>
      <c r="F1" s="10" t="s">
        <v>341</v>
      </c>
      <c r="G1" s="10" t="s">
        <v>342</v>
      </c>
      <c r="H1" s="10" t="s">
        <v>343</v>
      </c>
      <c r="I1" s="10" t="s">
        <v>344</v>
      </c>
    </row>
    <row r="2" spans="1:15" x14ac:dyDescent="0.2">
      <c r="A2" s="8">
        <f>SUM(J2:O2)</f>
        <v>111121</v>
      </c>
      <c r="B2" s="7" t="s">
        <v>249</v>
      </c>
      <c r="C2" s="7" t="s">
        <v>274</v>
      </c>
      <c r="D2" s="7" t="s">
        <v>290</v>
      </c>
      <c r="E2" s="7" t="s">
        <v>298</v>
      </c>
      <c r="F2" s="7" t="s">
        <v>268</v>
      </c>
      <c r="G2" s="7" t="s">
        <v>254</v>
      </c>
      <c r="H2" s="9">
        <f>AVERAGE('Table 4 ASHRAE'!$H$9:$H$11)</f>
        <v>1.1666666666666667</v>
      </c>
      <c r="I2" s="9">
        <f>1/H2</f>
        <v>0.8571428571428571</v>
      </c>
      <c r="J2" s="20">
        <f>VLOOKUP(B2,Contrôle!$C$3:$D$4,2,FALSE)</f>
        <v>100000</v>
      </c>
      <c r="K2" s="20">
        <f>VLOOKUP(C2,Contrôle!$C$5:$D$7,2,FALSE)</f>
        <v>10000</v>
      </c>
      <c r="L2" s="20">
        <f>VLOOKUP(D2,Contrôle!$C$8:$D$10,2,FALSE)</f>
        <v>1000</v>
      </c>
      <c r="M2" s="20">
        <f>VLOOKUP(E2,Contrôle!$C$11:$D$13,2,FALSE)</f>
        <v>100</v>
      </c>
      <c r="N2" s="20">
        <f>VLOOKUP(F2,Contrôle!$C$14:$D$15,2,FALSE)</f>
        <v>20</v>
      </c>
      <c r="O2" s="20">
        <f>VLOOKUP(G2,Contrôle!$C$16:$D$17,2,FALSE)</f>
        <v>1</v>
      </c>
    </row>
    <row r="3" spans="1:15" x14ac:dyDescent="0.2">
      <c r="A3" s="8">
        <f t="shared" ref="A3:A30" si="0">SUM(J3:O3)</f>
        <v>111122</v>
      </c>
      <c r="B3" s="7" t="s">
        <v>249</v>
      </c>
      <c r="C3" s="7" t="s">
        <v>274</v>
      </c>
      <c r="D3" s="7" t="s">
        <v>290</v>
      </c>
      <c r="E3" s="7" t="s">
        <v>298</v>
      </c>
      <c r="F3" s="7" t="s">
        <v>268</v>
      </c>
      <c r="G3" s="7" t="s">
        <v>268</v>
      </c>
      <c r="H3" s="9">
        <f>AVERAGE('Table 4 ASHRAE'!$H$9:$H$11)</f>
        <v>1.1666666666666667</v>
      </c>
      <c r="I3" s="9">
        <f>1/H3</f>
        <v>0.8571428571428571</v>
      </c>
      <c r="J3" s="20">
        <f>VLOOKUP(B3,Contrôle!$C$3:$D$4,2,FALSE)</f>
        <v>100000</v>
      </c>
      <c r="K3" s="20">
        <f>VLOOKUP(C3,Contrôle!$C$5:$D$7,2,FALSE)</f>
        <v>10000</v>
      </c>
      <c r="L3" s="20">
        <f>VLOOKUP(D3,Contrôle!$C$8:$D$10,2,FALSE)</f>
        <v>1000</v>
      </c>
      <c r="M3" s="20">
        <f>VLOOKUP(E3,Contrôle!$C$11:$D$13,2,FALSE)</f>
        <v>100</v>
      </c>
      <c r="N3" s="20">
        <f>VLOOKUP(F3,Contrôle!$C$14:$D$15,2,FALSE)</f>
        <v>20</v>
      </c>
      <c r="O3" s="20">
        <f>VLOOKUP(G3,Contrôle!$C$16:$D$17,2,FALSE)</f>
        <v>2</v>
      </c>
    </row>
    <row r="4" spans="1:15" x14ac:dyDescent="0.2">
      <c r="A4" s="8">
        <f t="shared" si="0"/>
        <v>121211</v>
      </c>
      <c r="B4" s="7" t="s">
        <v>249</v>
      </c>
      <c r="C4" s="7" t="s">
        <v>280</v>
      </c>
      <c r="D4" s="7" t="s">
        <v>290</v>
      </c>
      <c r="E4" s="7" t="s">
        <v>300</v>
      </c>
      <c r="F4" s="7" t="s">
        <v>254</v>
      </c>
      <c r="G4" s="7" t="s">
        <v>254</v>
      </c>
      <c r="H4" s="9">
        <f>'Table 4 ASHRAE'!H35</f>
        <v>0.65</v>
      </c>
      <c r="I4" s="9">
        <f t="shared" ref="I4:I19" si="1">1/H4</f>
        <v>1.5384615384615383</v>
      </c>
      <c r="J4" s="20">
        <f>VLOOKUP(B4,Contrôle!$C$3:$D$4,2,FALSE)</f>
        <v>100000</v>
      </c>
      <c r="K4" s="20">
        <f>VLOOKUP(C4,Contrôle!$C$5:$D$7,2,FALSE)</f>
        <v>20000</v>
      </c>
      <c r="L4" s="20">
        <f>VLOOKUP(D4,Contrôle!$C$8:$D$10,2,FALSE)</f>
        <v>1000</v>
      </c>
      <c r="M4" s="20">
        <f>VLOOKUP(E4,Contrôle!$C$11:$D$13,2,FALSE)</f>
        <v>200</v>
      </c>
      <c r="N4" s="20">
        <f>VLOOKUP(F4,Contrôle!$C$14:$D$15,2,FALSE)</f>
        <v>10</v>
      </c>
      <c r="O4" s="20">
        <f>VLOOKUP(G4,Contrôle!$C$16:$D$17,2,FALSE)</f>
        <v>1</v>
      </c>
    </row>
    <row r="5" spans="1:15" x14ac:dyDescent="0.2">
      <c r="A5" s="8">
        <f t="shared" si="0"/>
        <v>121212</v>
      </c>
      <c r="B5" s="7" t="s">
        <v>249</v>
      </c>
      <c r="C5" s="7" t="s">
        <v>280</v>
      </c>
      <c r="D5" s="7" t="s">
        <v>290</v>
      </c>
      <c r="E5" s="7" t="s">
        <v>300</v>
      </c>
      <c r="F5" s="7" t="s">
        <v>254</v>
      </c>
      <c r="G5" s="7" t="s">
        <v>268</v>
      </c>
      <c r="H5" s="9">
        <f>'Table 4 ASHRAE'!$H$15</f>
        <v>0.78</v>
      </c>
      <c r="I5" s="9">
        <f t="shared" si="1"/>
        <v>1.2820512820512819</v>
      </c>
      <c r="J5" s="20">
        <f>VLOOKUP(B5,Contrôle!$C$3:$D$4,2,FALSE)</f>
        <v>100000</v>
      </c>
      <c r="K5" s="20">
        <f>VLOOKUP(C5,Contrôle!$C$5:$D$7,2,FALSE)</f>
        <v>20000</v>
      </c>
      <c r="L5" s="20">
        <f>VLOOKUP(D5,Contrôle!$C$8:$D$10,2,FALSE)</f>
        <v>1000</v>
      </c>
      <c r="M5" s="20">
        <f>VLOOKUP(E5,Contrôle!$C$11:$D$13,2,FALSE)</f>
        <v>200</v>
      </c>
      <c r="N5" s="20">
        <f>VLOOKUP(F5,Contrôle!$C$14:$D$15,2,FALSE)</f>
        <v>10</v>
      </c>
      <c r="O5" s="20">
        <f>VLOOKUP(G5,Contrôle!$C$16:$D$17,2,FALSE)</f>
        <v>2</v>
      </c>
    </row>
    <row r="6" spans="1:15" x14ac:dyDescent="0.2">
      <c r="A6" s="8">
        <f t="shared" si="0"/>
        <v>121221</v>
      </c>
      <c r="B6" s="7" t="s">
        <v>249</v>
      </c>
      <c r="C6" s="7" t="s">
        <v>280</v>
      </c>
      <c r="D6" s="7" t="s">
        <v>290</v>
      </c>
      <c r="E6" s="7" t="s">
        <v>300</v>
      </c>
      <c r="F6" s="7" t="s">
        <v>268</v>
      </c>
      <c r="G6" s="7" t="s">
        <v>254</v>
      </c>
      <c r="H6" s="9">
        <f>'Table 4 ASHRAE'!H33</f>
        <v>0.71</v>
      </c>
      <c r="I6" s="9">
        <f t="shared" si="1"/>
        <v>1.4084507042253522</v>
      </c>
      <c r="J6" s="20">
        <f>VLOOKUP(B6,Contrôle!$C$3:$D$4,2,FALSE)</f>
        <v>100000</v>
      </c>
      <c r="K6" s="20">
        <f>VLOOKUP(C6,Contrôle!$C$5:$D$7,2,FALSE)</f>
        <v>20000</v>
      </c>
      <c r="L6" s="20">
        <f>VLOOKUP(D6,Contrôle!$C$8:$D$10,2,FALSE)</f>
        <v>1000</v>
      </c>
      <c r="M6" s="20">
        <f>VLOOKUP(E6,Contrôle!$C$11:$D$13,2,FALSE)</f>
        <v>200</v>
      </c>
      <c r="N6" s="20">
        <f>VLOOKUP(F6,Contrôle!$C$14:$D$15,2,FALSE)</f>
        <v>20</v>
      </c>
      <c r="O6" s="20">
        <f>VLOOKUP(G6,Contrôle!$C$16:$D$17,2,FALSE)</f>
        <v>1</v>
      </c>
    </row>
    <row r="7" spans="1:15" x14ac:dyDescent="0.2">
      <c r="A7" s="8">
        <f t="shared" si="0"/>
        <v>121222</v>
      </c>
      <c r="B7" s="7" t="s">
        <v>249</v>
      </c>
      <c r="C7" s="7" t="s">
        <v>280</v>
      </c>
      <c r="D7" s="7" t="s">
        <v>290</v>
      </c>
      <c r="E7" s="7" t="s">
        <v>300</v>
      </c>
      <c r="F7" s="7" t="s">
        <v>268</v>
      </c>
      <c r="G7" s="7" t="s">
        <v>268</v>
      </c>
      <c r="H7" s="9">
        <f>'Table 4 ASHRAE'!$H$13</f>
        <v>0.81</v>
      </c>
      <c r="I7" s="9">
        <f t="shared" si="1"/>
        <v>1.2345679012345678</v>
      </c>
      <c r="J7" s="20">
        <f>VLOOKUP(B7,Contrôle!$C$3:$D$4,2,FALSE)</f>
        <v>100000</v>
      </c>
      <c r="K7" s="20">
        <f>VLOOKUP(C7,Contrôle!$C$5:$D$7,2,FALSE)</f>
        <v>20000</v>
      </c>
      <c r="L7" s="20">
        <f>VLOOKUP(D7,Contrôle!$C$8:$D$10,2,FALSE)</f>
        <v>1000</v>
      </c>
      <c r="M7" s="20">
        <f>VLOOKUP(E7,Contrôle!$C$11:$D$13,2,FALSE)</f>
        <v>200</v>
      </c>
      <c r="N7" s="20">
        <f>VLOOKUP(F7,Contrôle!$C$14:$D$15,2,FALSE)</f>
        <v>20</v>
      </c>
      <c r="O7" s="20">
        <f>VLOOKUP(G7,Contrôle!$C$16:$D$17,2,FALSE)</f>
        <v>2</v>
      </c>
    </row>
    <row r="8" spans="1:15" x14ac:dyDescent="0.2">
      <c r="A8" s="8">
        <f t="shared" si="0"/>
        <v>121311</v>
      </c>
      <c r="B8" s="7" t="s">
        <v>249</v>
      </c>
      <c r="C8" s="7" t="s">
        <v>280</v>
      </c>
      <c r="D8" s="7" t="s">
        <v>290</v>
      </c>
      <c r="E8" s="7" t="s">
        <v>301</v>
      </c>
      <c r="F8" s="7" t="s">
        <v>254</v>
      </c>
      <c r="G8" s="7" t="s">
        <v>254</v>
      </c>
      <c r="H8" s="9">
        <f>'Table 4 ASHRAE'!H36</f>
        <v>0.59</v>
      </c>
      <c r="I8" s="9">
        <f t="shared" si="1"/>
        <v>1.6949152542372883</v>
      </c>
      <c r="J8" s="20">
        <f>VLOOKUP(B8,Contrôle!$C$3:$D$4,2,FALSE)</f>
        <v>100000</v>
      </c>
      <c r="K8" s="20">
        <f>VLOOKUP(C8,Contrôle!$C$5:$D$7,2,FALSE)</f>
        <v>20000</v>
      </c>
      <c r="L8" s="20">
        <f>VLOOKUP(D8,Contrôle!$C$8:$D$10,2,FALSE)</f>
        <v>1000</v>
      </c>
      <c r="M8" s="20">
        <f>VLOOKUP(E8,Contrôle!$C$11:$D$13,2,FALSE)</f>
        <v>300</v>
      </c>
      <c r="N8" s="20">
        <f>VLOOKUP(F8,Contrôle!$C$14:$D$15,2,FALSE)</f>
        <v>10</v>
      </c>
      <c r="O8" s="20">
        <f>VLOOKUP(G8,Contrôle!$C$16:$D$17,2,FALSE)</f>
        <v>1</v>
      </c>
    </row>
    <row r="9" spans="1:15" x14ac:dyDescent="0.2">
      <c r="A9" s="8">
        <f t="shared" si="0"/>
        <v>121312</v>
      </c>
      <c r="B9" s="7" t="s">
        <v>249</v>
      </c>
      <c r="C9" s="7" t="s">
        <v>280</v>
      </c>
      <c r="D9" s="7" t="s">
        <v>290</v>
      </c>
      <c r="E9" s="7" t="s">
        <v>301</v>
      </c>
      <c r="F9" s="7" t="s">
        <v>254</v>
      </c>
      <c r="G9" s="7" t="s">
        <v>268</v>
      </c>
      <c r="H9" s="9">
        <f>'Table 4 ASHRAE'!$H$16</f>
        <v>0.73</v>
      </c>
      <c r="I9" s="9">
        <f t="shared" si="1"/>
        <v>1.3698630136986301</v>
      </c>
      <c r="J9" s="20">
        <f>VLOOKUP(B9,Contrôle!$C$3:$D$4,2,FALSE)</f>
        <v>100000</v>
      </c>
      <c r="K9" s="20">
        <f>VLOOKUP(C9,Contrôle!$C$5:$D$7,2,FALSE)</f>
        <v>20000</v>
      </c>
      <c r="L9" s="20">
        <f>VLOOKUP(D9,Contrôle!$C$8:$D$10,2,FALSE)</f>
        <v>1000</v>
      </c>
      <c r="M9" s="20">
        <f>VLOOKUP(E9,Contrôle!$C$11:$D$13,2,FALSE)</f>
        <v>300</v>
      </c>
      <c r="N9" s="20">
        <f>VLOOKUP(F9,Contrôle!$C$14:$D$15,2,FALSE)</f>
        <v>10</v>
      </c>
      <c r="O9" s="20">
        <f>VLOOKUP(G9,Contrôle!$C$16:$D$17,2,FALSE)</f>
        <v>2</v>
      </c>
    </row>
    <row r="10" spans="1:15" x14ac:dyDescent="0.2">
      <c r="A10" s="8">
        <f t="shared" si="0"/>
        <v>121321</v>
      </c>
      <c r="B10" s="7" t="s">
        <v>249</v>
      </c>
      <c r="C10" s="7" t="s">
        <v>280</v>
      </c>
      <c r="D10" s="7" t="s">
        <v>290</v>
      </c>
      <c r="E10" s="7" t="s">
        <v>301</v>
      </c>
      <c r="F10" s="7" t="s">
        <v>268</v>
      </c>
      <c r="G10" s="7" t="s">
        <v>254</v>
      </c>
      <c r="H10" s="9">
        <f>'Table 4 ASHRAE'!H34</f>
        <v>0.63</v>
      </c>
      <c r="I10" s="9">
        <f t="shared" si="1"/>
        <v>1.5873015873015872</v>
      </c>
      <c r="J10" s="20">
        <f>VLOOKUP(B10,Contrôle!$C$3:$D$4,2,FALSE)</f>
        <v>100000</v>
      </c>
      <c r="K10" s="20">
        <f>VLOOKUP(C10,Contrôle!$C$5:$D$7,2,FALSE)</f>
        <v>20000</v>
      </c>
      <c r="L10" s="20">
        <f>VLOOKUP(D10,Contrôle!$C$8:$D$10,2,FALSE)</f>
        <v>1000</v>
      </c>
      <c r="M10" s="20">
        <f>VLOOKUP(E10,Contrôle!$C$11:$D$13,2,FALSE)</f>
        <v>300</v>
      </c>
      <c r="N10" s="20">
        <f>VLOOKUP(F10,Contrôle!$C$14:$D$15,2,FALSE)</f>
        <v>20</v>
      </c>
      <c r="O10" s="20">
        <f>VLOOKUP(G10,Contrôle!$C$16:$D$17,2,FALSE)</f>
        <v>1</v>
      </c>
    </row>
    <row r="11" spans="1:15" x14ac:dyDescent="0.2">
      <c r="A11" s="8">
        <f t="shared" si="0"/>
        <v>121322</v>
      </c>
      <c r="B11" s="7" t="s">
        <v>249</v>
      </c>
      <c r="C11" s="7" t="s">
        <v>280</v>
      </c>
      <c r="D11" s="7" t="s">
        <v>290</v>
      </c>
      <c r="E11" s="7" t="s">
        <v>301</v>
      </c>
      <c r="F11" s="7" t="s">
        <v>268</v>
      </c>
      <c r="G11" s="7" t="s">
        <v>268</v>
      </c>
      <c r="H11" s="9">
        <f>'Table 4 ASHRAE'!$H$14</f>
        <v>0.76</v>
      </c>
      <c r="I11" s="9">
        <f t="shared" si="1"/>
        <v>1.3157894736842106</v>
      </c>
      <c r="J11" s="20">
        <f>VLOOKUP(B11,Contrôle!$C$3:$D$4,2,FALSE)</f>
        <v>100000</v>
      </c>
      <c r="K11" s="20">
        <f>VLOOKUP(C11,Contrôle!$C$5:$D$7,2,FALSE)</f>
        <v>20000</v>
      </c>
      <c r="L11" s="20">
        <f>VLOOKUP(D11,Contrôle!$C$8:$D$10,2,FALSE)</f>
        <v>1000</v>
      </c>
      <c r="M11" s="20">
        <f>VLOOKUP(E11,Contrôle!$C$11:$D$13,2,FALSE)</f>
        <v>300</v>
      </c>
      <c r="N11" s="20">
        <f>VLOOKUP(F11,Contrôle!$C$14:$D$15,2,FALSE)</f>
        <v>20</v>
      </c>
      <c r="O11" s="20">
        <f>VLOOKUP(G11,Contrôle!$C$16:$D$17,2,FALSE)</f>
        <v>2</v>
      </c>
    </row>
    <row r="12" spans="1:15" x14ac:dyDescent="0.2">
      <c r="A12" s="8">
        <f t="shared" si="0"/>
        <v>131211</v>
      </c>
      <c r="B12" s="7" t="s">
        <v>249</v>
      </c>
      <c r="C12" s="7" t="s">
        <v>285</v>
      </c>
      <c r="D12" s="7" t="s">
        <v>290</v>
      </c>
      <c r="E12" s="7" t="s">
        <v>300</v>
      </c>
      <c r="F12" s="7" t="s">
        <v>254</v>
      </c>
      <c r="G12" s="7" t="s">
        <v>254</v>
      </c>
      <c r="H12" s="9">
        <f>'Table 4 ASHRAE'!H60</f>
        <v>0.53</v>
      </c>
      <c r="I12" s="9">
        <f t="shared" si="1"/>
        <v>1.8867924528301885</v>
      </c>
      <c r="J12" s="20">
        <f>VLOOKUP(B12,Contrôle!$C$3:$D$4,2,FALSE)</f>
        <v>100000</v>
      </c>
      <c r="K12" s="20">
        <f>VLOOKUP(C12,Contrôle!$C$5:$D$7,2,FALSE)</f>
        <v>30000</v>
      </c>
      <c r="L12" s="20">
        <f>VLOOKUP(D12,Contrôle!$C$8:$D$10,2,FALSE)</f>
        <v>1000</v>
      </c>
      <c r="M12" s="20">
        <f>VLOOKUP(E12,Contrôle!$C$11:$D$13,2,FALSE)</f>
        <v>200</v>
      </c>
      <c r="N12" s="20">
        <f>VLOOKUP(F12,Contrôle!$C$14:$D$15,2,FALSE)</f>
        <v>10</v>
      </c>
      <c r="O12" s="20">
        <f>VLOOKUP(G12,Contrôle!$C$16:$D$17,2,FALSE)</f>
        <v>1</v>
      </c>
    </row>
    <row r="13" spans="1:15" x14ac:dyDescent="0.2">
      <c r="A13" s="8">
        <f t="shared" si="0"/>
        <v>131212</v>
      </c>
      <c r="B13" s="7" t="s">
        <v>249</v>
      </c>
      <c r="C13" s="7" t="s">
        <v>285</v>
      </c>
      <c r="D13" s="7" t="s">
        <v>290</v>
      </c>
      <c r="E13" s="7" t="s">
        <v>300</v>
      </c>
      <c r="F13" s="7" t="s">
        <v>254</v>
      </c>
      <c r="G13" s="7" t="s">
        <v>268</v>
      </c>
      <c r="H13" s="9">
        <f>'Table 4 ASHRAE'!H45</f>
        <v>0.63</v>
      </c>
      <c r="I13" s="9">
        <f t="shared" si="1"/>
        <v>1.5873015873015872</v>
      </c>
      <c r="J13" s="20">
        <f>VLOOKUP(B13,Contrôle!$C$3:$D$4,2,FALSE)</f>
        <v>100000</v>
      </c>
      <c r="K13" s="20">
        <f>VLOOKUP(C13,Contrôle!$C$5:$D$7,2,FALSE)</f>
        <v>30000</v>
      </c>
      <c r="L13" s="20">
        <f>VLOOKUP(D13,Contrôle!$C$8:$D$10,2,FALSE)</f>
        <v>1000</v>
      </c>
      <c r="M13" s="20">
        <f>VLOOKUP(E13,Contrôle!$C$11:$D$13,2,FALSE)</f>
        <v>200</v>
      </c>
      <c r="N13" s="20">
        <f>VLOOKUP(F13,Contrôle!$C$14:$D$15,2,FALSE)</f>
        <v>10</v>
      </c>
      <c r="O13" s="20">
        <f>VLOOKUP(G13,Contrôle!$C$16:$D$17,2,FALSE)</f>
        <v>2</v>
      </c>
    </row>
    <row r="14" spans="1:15" x14ac:dyDescent="0.2">
      <c r="A14" s="8">
        <f t="shared" si="0"/>
        <v>131221</v>
      </c>
      <c r="B14" s="7" t="s">
        <v>249</v>
      </c>
      <c r="C14" s="7" t="s">
        <v>285</v>
      </c>
      <c r="D14" s="7" t="s">
        <v>290</v>
      </c>
      <c r="E14" s="7" t="s">
        <v>300</v>
      </c>
      <c r="F14" s="7" t="s">
        <v>268</v>
      </c>
      <c r="G14" s="7" t="s">
        <v>254</v>
      </c>
      <c r="H14" s="9">
        <f>'Table 4 ASHRAE'!H58</f>
        <v>0.57999999999999996</v>
      </c>
      <c r="I14" s="9">
        <f t="shared" si="1"/>
        <v>1.7241379310344829</v>
      </c>
      <c r="J14" s="20">
        <f>VLOOKUP(B14,Contrôle!$C$3:$D$4,2,FALSE)</f>
        <v>100000</v>
      </c>
      <c r="K14" s="20">
        <f>VLOOKUP(C14,Contrôle!$C$5:$D$7,2,FALSE)</f>
        <v>30000</v>
      </c>
      <c r="L14" s="20">
        <f>VLOOKUP(D14,Contrôle!$C$8:$D$10,2,FALSE)</f>
        <v>1000</v>
      </c>
      <c r="M14" s="20">
        <f>VLOOKUP(E14,Contrôle!$C$11:$D$13,2,FALSE)</f>
        <v>200</v>
      </c>
      <c r="N14" s="20">
        <f>VLOOKUP(F14,Contrôle!$C$14:$D$15,2,FALSE)</f>
        <v>20</v>
      </c>
      <c r="O14" s="20">
        <f>VLOOKUP(G14,Contrôle!$C$16:$D$17,2,FALSE)</f>
        <v>1</v>
      </c>
    </row>
    <row r="15" spans="1:15" x14ac:dyDescent="0.2">
      <c r="A15" s="8">
        <f t="shared" si="0"/>
        <v>131222</v>
      </c>
      <c r="B15" s="7" t="s">
        <v>249</v>
      </c>
      <c r="C15" s="7" t="s">
        <v>285</v>
      </c>
      <c r="D15" s="7" t="s">
        <v>290</v>
      </c>
      <c r="E15" s="7" t="s">
        <v>300</v>
      </c>
      <c r="F15" s="7" t="s">
        <v>268</v>
      </c>
      <c r="G15" s="7" t="s">
        <v>268</v>
      </c>
      <c r="H15" s="9">
        <f>'Table 4 ASHRAE'!H43</f>
        <v>0.67</v>
      </c>
      <c r="I15" s="9">
        <f t="shared" si="1"/>
        <v>1.4925373134328357</v>
      </c>
      <c r="J15" s="20">
        <f>VLOOKUP(B15,Contrôle!$C$3:$D$4,2,FALSE)</f>
        <v>100000</v>
      </c>
      <c r="K15" s="20">
        <f>VLOOKUP(C15,Contrôle!$C$5:$D$7,2,FALSE)</f>
        <v>30000</v>
      </c>
      <c r="L15" s="20">
        <f>VLOOKUP(D15,Contrôle!$C$8:$D$10,2,FALSE)</f>
        <v>1000</v>
      </c>
      <c r="M15" s="20">
        <f>VLOOKUP(E15,Contrôle!$C$11:$D$13,2,FALSE)</f>
        <v>200</v>
      </c>
      <c r="N15" s="20">
        <f>VLOOKUP(F15,Contrôle!$C$14:$D$15,2,FALSE)</f>
        <v>20</v>
      </c>
      <c r="O15" s="20">
        <f>VLOOKUP(G15,Contrôle!$C$16:$D$17,2,FALSE)</f>
        <v>2</v>
      </c>
    </row>
    <row r="16" spans="1:15" x14ac:dyDescent="0.2">
      <c r="A16" s="8">
        <f t="shared" si="0"/>
        <v>131311</v>
      </c>
      <c r="B16" s="7" t="s">
        <v>249</v>
      </c>
      <c r="C16" s="7" t="s">
        <v>285</v>
      </c>
      <c r="D16" s="7" t="s">
        <v>290</v>
      </c>
      <c r="E16" s="7" t="s">
        <v>301</v>
      </c>
      <c r="F16" s="7" t="s">
        <v>254</v>
      </c>
      <c r="G16" s="7" t="s">
        <v>254</v>
      </c>
      <c r="H16" s="9">
        <f>'Table 4 ASHRAE'!H61</f>
        <v>0.47</v>
      </c>
      <c r="I16" s="9">
        <f t="shared" si="1"/>
        <v>2.1276595744680851</v>
      </c>
      <c r="J16" s="20">
        <f>VLOOKUP(B16,Contrôle!$C$3:$D$4,2,FALSE)</f>
        <v>100000</v>
      </c>
      <c r="K16" s="20">
        <f>VLOOKUP(C16,Contrôle!$C$5:$D$7,2,FALSE)</f>
        <v>30000</v>
      </c>
      <c r="L16" s="20">
        <f>VLOOKUP(D16,Contrôle!$C$8:$D$10,2,FALSE)</f>
        <v>1000</v>
      </c>
      <c r="M16" s="20">
        <f>VLOOKUP(E16,Contrôle!$C$11:$D$13,2,FALSE)</f>
        <v>300</v>
      </c>
      <c r="N16" s="20">
        <f>VLOOKUP(F16,Contrôle!$C$14:$D$15,2,FALSE)</f>
        <v>10</v>
      </c>
      <c r="O16" s="20">
        <f>VLOOKUP(G16,Contrôle!$C$16:$D$17,2,FALSE)</f>
        <v>1</v>
      </c>
    </row>
    <row r="17" spans="1:15" x14ac:dyDescent="0.2">
      <c r="A17" s="8">
        <f t="shared" si="0"/>
        <v>131312</v>
      </c>
      <c r="B17" s="7" t="s">
        <v>249</v>
      </c>
      <c r="C17" s="7" t="s">
        <v>285</v>
      </c>
      <c r="D17" s="7" t="s">
        <v>290</v>
      </c>
      <c r="E17" s="7" t="s">
        <v>301</v>
      </c>
      <c r="F17" s="7" t="s">
        <v>254</v>
      </c>
      <c r="G17" s="7" t="s">
        <v>268</v>
      </c>
      <c r="H17" s="9">
        <f>'Table 4 ASHRAE'!H46</f>
        <v>0.59</v>
      </c>
      <c r="I17" s="9">
        <f t="shared" si="1"/>
        <v>1.6949152542372883</v>
      </c>
      <c r="J17" s="20">
        <f>VLOOKUP(B17,Contrôle!$C$3:$D$4,2,FALSE)</f>
        <v>100000</v>
      </c>
      <c r="K17" s="20">
        <f>VLOOKUP(C17,Contrôle!$C$5:$D$7,2,FALSE)</f>
        <v>30000</v>
      </c>
      <c r="L17" s="20">
        <f>VLOOKUP(D17,Contrôle!$C$8:$D$10,2,FALSE)</f>
        <v>1000</v>
      </c>
      <c r="M17" s="20">
        <f>VLOOKUP(E17,Contrôle!$C$11:$D$13,2,FALSE)</f>
        <v>300</v>
      </c>
      <c r="N17" s="20">
        <f>VLOOKUP(F17,Contrôle!$C$14:$D$15,2,FALSE)</f>
        <v>10</v>
      </c>
      <c r="O17" s="20">
        <f>VLOOKUP(G17,Contrôle!$C$16:$D$17,2,FALSE)</f>
        <v>2</v>
      </c>
    </row>
    <row r="18" spans="1:15" x14ac:dyDescent="0.2">
      <c r="A18" s="8">
        <f t="shared" si="0"/>
        <v>131321</v>
      </c>
      <c r="B18" s="7" t="s">
        <v>249</v>
      </c>
      <c r="C18" s="7" t="s">
        <v>285</v>
      </c>
      <c r="D18" s="7" t="s">
        <v>290</v>
      </c>
      <c r="E18" s="7" t="s">
        <v>301</v>
      </c>
      <c r="F18" s="7" t="s">
        <v>268</v>
      </c>
      <c r="G18" s="7" t="s">
        <v>254</v>
      </c>
      <c r="H18" s="9">
        <f>'Table 4 ASHRAE'!H59</f>
        <v>0.5</v>
      </c>
      <c r="I18" s="9">
        <f t="shared" si="1"/>
        <v>2</v>
      </c>
      <c r="J18" s="20">
        <f>VLOOKUP(B18,Contrôle!$C$3:$D$4,2,FALSE)</f>
        <v>100000</v>
      </c>
      <c r="K18" s="20">
        <f>VLOOKUP(C18,Contrôle!$C$5:$D$7,2,FALSE)</f>
        <v>30000</v>
      </c>
      <c r="L18" s="20">
        <f>VLOOKUP(D18,Contrôle!$C$8:$D$10,2,FALSE)</f>
        <v>1000</v>
      </c>
      <c r="M18" s="20">
        <f>VLOOKUP(E18,Contrôle!$C$11:$D$13,2,FALSE)</f>
        <v>300</v>
      </c>
      <c r="N18" s="20">
        <f>VLOOKUP(F18,Contrôle!$C$14:$D$15,2,FALSE)</f>
        <v>20</v>
      </c>
      <c r="O18" s="20">
        <f>VLOOKUP(G18,Contrôle!$C$16:$D$17,2,FALSE)</f>
        <v>1</v>
      </c>
    </row>
    <row r="19" spans="1:15" x14ac:dyDescent="0.2">
      <c r="A19" s="8">
        <f t="shared" si="0"/>
        <v>131322</v>
      </c>
      <c r="B19" s="7" t="s">
        <v>249</v>
      </c>
      <c r="C19" s="7" t="s">
        <v>285</v>
      </c>
      <c r="D19" s="7" t="s">
        <v>290</v>
      </c>
      <c r="E19" s="7" t="s">
        <v>301</v>
      </c>
      <c r="F19" s="7" t="s">
        <v>268</v>
      </c>
      <c r="G19" s="7" t="s">
        <v>268</v>
      </c>
      <c r="H19" s="9">
        <f>'Table 4 ASHRAE'!H44</f>
        <v>0.61</v>
      </c>
      <c r="I19" s="9">
        <f t="shared" si="1"/>
        <v>1.639344262295082</v>
      </c>
      <c r="J19" s="20">
        <f>VLOOKUP(B19,Contrôle!$C$3:$D$4,2,FALSE)</f>
        <v>100000</v>
      </c>
      <c r="K19" s="20">
        <f>VLOOKUP(C19,Contrôle!$C$5:$D$7,2,FALSE)</f>
        <v>30000</v>
      </c>
      <c r="L19" s="20">
        <f>VLOOKUP(D19,Contrôle!$C$8:$D$10,2,FALSE)</f>
        <v>1000</v>
      </c>
      <c r="M19" s="20">
        <f>VLOOKUP(E19,Contrôle!$C$11:$D$13,2,FALSE)</f>
        <v>300</v>
      </c>
      <c r="N19" s="20">
        <f>VLOOKUP(F19,Contrôle!$C$14:$D$15,2,FALSE)</f>
        <v>20</v>
      </c>
      <c r="O19" s="20">
        <f>VLOOKUP(G19,Contrôle!$C$16:$D$17,2,FALSE)</f>
        <v>2</v>
      </c>
    </row>
    <row r="20" spans="1:15" x14ac:dyDescent="0.2">
      <c r="A20" s="8">
        <f t="shared" si="0"/>
        <v>112121</v>
      </c>
      <c r="B20" s="7" t="s">
        <v>249</v>
      </c>
      <c r="C20" s="7" t="s">
        <v>274</v>
      </c>
      <c r="D20" s="7" t="s">
        <v>294</v>
      </c>
      <c r="E20" s="7" t="s">
        <v>298</v>
      </c>
      <c r="F20" s="7" t="s">
        <v>268</v>
      </c>
      <c r="G20" s="7" t="s">
        <v>254</v>
      </c>
      <c r="H20" s="9">
        <f>AVERAGE('Table 4 ASHRAE'!$I$9:$I$11)</f>
        <v>1.0066666666666666</v>
      </c>
      <c r="I20" s="9">
        <f t="shared" ref="I20:I37" si="2">1/H20</f>
        <v>0.99337748344370869</v>
      </c>
      <c r="J20" s="20">
        <f>VLOOKUP(B20,Contrôle!$C$3:$D$4,2,FALSE)</f>
        <v>100000</v>
      </c>
      <c r="K20" s="20">
        <f>VLOOKUP(C20,Contrôle!$C$5:$D$7,2,FALSE)</f>
        <v>10000</v>
      </c>
      <c r="L20" s="20">
        <f>VLOOKUP(D20,Contrôle!$C$8:$D$10,2,FALSE)</f>
        <v>2000</v>
      </c>
      <c r="M20" s="20">
        <f>VLOOKUP(E20,Contrôle!$C$11:$D$13,2,FALSE)</f>
        <v>100</v>
      </c>
      <c r="N20" s="20">
        <f>VLOOKUP(F20,Contrôle!$C$14:$D$15,2,FALSE)</f>
        <v>20</v>
      </c>
      <c r="O20" s="20">
        <f>VLOOKUP(G20,Contrôle!$C$16:$D$17,2,FALSE)</f>
        <v>1</v>
      </c>
    </row>
    <row r="21" spans="1:15" x14ac:dyDescent="0.2">
      <c r="A21" s="8">
        <f t="shared" si="0"/>
        <v>112122</v>
      </c>
      <c r="B21" s="7" t="s">
        <v>249</v>
      </c>
      <c r="C21" s="7" t="s">
        <v>274</v>
      </c>
      <c r="D21" s="7" t="s">
        <v>294</v>
      </c>
      <c r="E21" s="7" t="s">
        <v>298</v>
      </c>
      <c r="F21" s="7" t="s">
        <v>268</v>
      </c>
      <c r="G21" s="7" t="s">
        <v>268</v>
      </c>
      <c r="H21" s="9">
        <f>AVERAGE('Table 4 ASHRAE'!$I$9:$I$11)</f>
        <v>1.0066666666666666</v>
      </c>
      <c r="I21" s="9">
        <f t="shared" si="2"/>
        <v>0.99337748344370869</v>
      </c>
      <c r="J21" s="20">
        <f>VLOOKUP(B21,Contrôle!$C$3:$D$4,2,FALSE)</f>
        <v>100000</v>
      </c>
      <c r="K21" s="20">
        <f>VLOOKUP(C21,Contrôle!$C$5:$D$7,2,FALSE)</f>
        <v>10000</v>
      </c>
      <c r="L21" s="20">
        <f>VLOOKUP(D21,Contrôle!$C$8:$D$10,2,FALSE)</f>
        <v>2000</v>
      </c>
      <c r="M21" s="20">
        <f>VLOOKUP(E21,Contrôle!$C$11:$D$13,2,FALSE)</f>
        <v>100</v>
      </c>
      <c r="N21" s="20">
        <f>VLOOKUP(F21,Contrôle!$C$14:$D$15,2,FALSE)</f>
        <v>20</v>
      </c>
      <c r="O21" s="20">
        <f>VLOOKUP(G21,Contrôle!$C$16:$D$17,2,FALSE)</f>
        <v>2</v>
      </c>
    </row>
    <row r="22" spans="1:15" x14ac:dyDescent="0.2">
      <c r="A22" s="8">
        <f t="shared" si="0"/>
        <v>122211</v>
      </c>
      <c r="B22" s="7" t="s">
        <v>249</v>
      </c>
      <c r="C22" s="7" t="s">
        <v>280</v>
      </c>
      <c r="D22" s="7" t="s">
        <v>294</v>
      </c>
      <c r="E22" s="7" t="s">
        <v>300</v>
      </c>
      <c r="F22" s="7" t="s">
        <v>254</v>
      </c>
      <c r="G22" s="7" t="s">
        <v>254</v>
      </c>
      <c r="H22" s="9">
        <f>'Table 4 ASHRAE'!I35</f>
        <v>0.48</v>
      </c>
      <c r="I22" s="9">
        <f t="shared" si="2"/>
        <v>2.0833333333333335</v>
      </c>
      <c r="J22" s="20">
        <f>VLOOKUP(B22,Contrôle!$C$3:$D$4,2,FALSE)</f>
        <v>100000</v>
      </c>
      <c r="K22" s="20">
        <f>VLOOKUP(C22,Contrôle!$C$5:$D$7,2,FALSE)</f>
        <v>20000</v>
      </c>
      <c r="L22" s="20">
        <f>VLOOKUP(D22,Contrôle!$C$8:$D$10,2,FALSE)</f>
        <v>2000</v>
      </c>
      <c r="M22" s="20">
        <f>VLOOKUP(E22,Contrôle!$C$11:$D$13,2,FALSE)</f>
        <v>200</v>
      </c>
      <c r="N22" s="20">
        <f>VLOOKUP(F22,Contrôle!$C$14:$D$15,2,FALSE)</f>
        <v>10</v>
      </c>
      <c r="O22" s="20">
        <f>VLOOKUP(G22,Contrôle!$C$16:$D$17,2,FALSE)</f>
        <v>1</v>
      </c>
    </row>
    <row r="23" spans="1:15" x14ac:dyDescent="0.2">
      <c r="A23" s="8">
        <f t="shared" si="0"/>
        <v>122212</v>
      </c>
      <c r="B23" s="7" t="s">
        <v>249</v>
      </c>
      <c r="C23" s="7" t="s">
        <v>280</v>
      </c>
      <c r="D23" s="7" t="s">
        <v>294</v>
      </c>
      <c r="E23" s="7" t="s">
        <v>300</v>
      </c>
      <c r="F23" s="7" t="s">
        <v>254</v>
      </c>
      <c r="G23" s="7" t="s">
        <v>268</v>
      </c>
      <c r="H23" s="9">
        <f>'Table 4 ASHRAE'!$I$15</f>
        <v>0.61</v>
      </c>
      <c r="I23" s="9">
        <f t="shared" si="2"/>
        <v>1.639344262295082</v>
      </c>
      <c r="J23" s="20">
        <f>VLOOKUP(B23,Contrôle!$C$3:$D$4,2,FALSE)</f>
        <v>100000</v>
      </c>
      <c r="K23" s="20">
        <f>VLOOKUP(C23,Contrôle!$C$5:$D$7,2,FALSE)</f>
        <v>20000</v>
      </c>
      <c r="L23" s="20">
        <f>VLOOKUP(D23,Contrôle!$C$8:$D$10,2,FALSE)</f>
        <v>2000</v>
      </c>
      <c r="M23" s="20">
        <f>VLOOKUP(E23,Contrôle!$C$11:$D$13,2,FALSE)</f>
        <v>200</v>
      </c>
      <c r="N23" s="20">
        <f>VLOOKUP(F23,Contrôle!$C$14:$D$15,2,FALSE)</f>
        <v>10</v>
      </c>
      <c r="O23" s="20">
        <f>VLOOKUP(G23,Contrôle!$C$16:$D$17,2,FALSE)</f>
        <v>2</v>
      </c>
    </row>
    <row r="24" spans="1:15" x14ac:dyDescent="0.2">
      <c r="A24" s="8">
        <f t="shared" si="0"/>
        <v>122221</v>
      </c>
      <c r="B24" s="7" t="s">
        <v>249</v>
      </c>
      <c r="C24" s="7" t="s">
        <v>280</v>
      </c>
      <c r="D24" s="7" t="s">
        <v>294</v>
      </c>
      <c r="E24" s="7" t="s">
        <v>300</v>
      </c>
      <c r="F24" s="7" t="s">
        <v>268</v>
      </c>
      <c r="G24" s="7" t="s">
        <v>254</v>
      </c>
      <c r="H24" s="9">
        <f>'Table 4 ASHRAE'!I33</f>
        <v>0.54</v>
      </c>
      <c r="I24" s="9">
        <f t="shared" si="2"/>
        <v>1.8518518518518516</v>
      </c>
      <c r="J24" s="20">
        <f>VLOOKUP(B24,Contrôle!$C$3:$D$4,2,FALSE)</f>
        <v>100000</v>
      </c>
      <c r="K24" s="20">
        <f>VLOOKUP(C24,Contrôle!$C$5:$D$7,2,FALSE)</f>
        <v>20000</v>
      </c>
      <c r="L24" s="20">
        <f>VLOOKUP(D24,Contrôle!$C$8:$D$10,2,FALSE)</f>
        <v>2000</v>
      </c>
      <c r="M24" s="20">
        <f>VLOOKUP(E24,Contrôle!$C$11:$D$13,2,FALSE)</f>
        <v>200</v>
      </c>
      <c r="N24" s="20">
        <f>VLOOKUP(F24,Contrôle!$C$14:$D$15,2,FALSE)</f>
        <v>20</v>
      </c>
      <c r="O24" s="20">
        <f>VLOOKUP(G24,Contrôle!$C$16:$D$17,2,FALSE)</f>
        <v>1</v>
      </c>
    </row>
    <row r="25" spans="1:15" x14ac:dyDescent="0.2">
      <c r="A25" s="8">
        <f t="shared" si="0"/>
        <v>122222</v>
      </c>
      <c r="B25" s="7" t="s">
        <v>249</v>
      </c>
      <c r="C25" s="7" t="s">
        <v>280</v>
      </c>
      <c r="D25" s="7" t="s">
        <v>294</v>
      </c>
      <c r="E25" s="7" t="s">
        <v>300</v>
      </c>
      <c r="F25" s="7" t="s">
        <v>268</v>
      </c>
      <c r="G25" s="7" t="s">
        <v>268</v>
      </c>
      <c r="H25" s="9">
        <f>'Table 4 ASHRAE'!$I$13</f>
        <v>0.64</v>
      </c>
      <c r="I25" s="9">
        <f t="shared" si="2"/>
        <v>1.5625</v>
      </c>
      <c r="J25" s="20">
        <f>VLOOKUP(B25,Contrôle!$C$3:$D$4,2,FALSE)</f>
        <v>100000</v>
      </c>
      <c r="K25" s="20">
        <f>VLOOKUP(C25,Contrôle!$C$5:$D$7,2,FALSE)</f>
        <v>20000</v>
      </c>
      <c r="L25" s="20">
        <f>VLOOKUP(D25,Contrôle!$C$8:$D$10,2,FALSE)</f>
        <v>2000</v>
      </c>
      <c r="M25" s="20">
        <f>VLOOKUP(E25,Contrôle!$C$11:$D$13,2,FALSE)</f>
        <v>200</v>
      </c>
      <c r="N25" s="20">
        <f>VLOOKUP(F25,Contrôle!$C$14:$D$15,2,FALSE)</f>
        <v>20</v>
      </c>
      <c r="O25" s="20">
        <f>VLOOKUP(G25,Contrôle!$C$16:$D$17,2,FALSE)</f>
        <v>2</v>
      </c>
    </row>
    <row r="26" spans="1:15" x14ac:dyDescent="0.2">
      <c r="A26" s="8">
        <f t="shared" si="0"/>
        <v>122311</v>
      </c>
      <c r="B26" s="7" t="s">
        <v>249</v>
      </c>
      <c r="C26" s="7" t="s">
        <v>280</v>
      </c>
      <c r="D26" s="7" t="s">
        <v>294</v>
      </c>
      <c r="E26" s="7" t="s">
        <v>301</v>
      </c>
      <c r="F26" s="7" t="s">
        <v>254</v>
      </c>
      <c r="G26" s="7" t="s">
        <v>254</v>
      </c>
      <c r="H26" s="9">
        <f>'Table 4 ASHRAE'!I36</f>
        <v>0.42</v>
      </c>
      <c r="I26" s="9">
        <f t="shared" si="2"/>
        <v>2.3809523809523809</v>
      </c>
      <c r="J26" s="20">
        <f>VLOOKUP(B26,Contrôle!$C$3:$D$4,2,FALSE)</f>
        <v>100000</v>
      </c>
      <c r="K26" s="20">
        <f>VLOOKUP(C26,Contrôle!$C$5:$D$7,2,FALSE)</f>
        <v>20000</v>
      </c>
      <c r="L26" s="20">
        <f>VLOOKUP(D26,Contrôle!$C$8:$D$10,2,FALSE)</f>
        <v>2000</v>
      </c>
      <c r="M26" s="20">
        <f>VLOOKUP(E26,Contrôle!$C$11:$D$13,2,FALSE)</f>
        <v>300</v>
      </c>
      <c r="N26" s="20">
        <f>VLOOKUP(F26,Contrôle!$C$14:$D$15,2,FALSE)</f>
        <v>10</v>
      </c>
      <c r="O26" s="20">
        <f>VLOOKUP(G26,Contrôle!$C$16:$D$17,2,FALSE)</f>
        <v>1</v>
      </c>
    </row>
    <row r="27" spans="1:15" x14ac:dyDescent="0.2">
      <c r="A27" s="8">
        <f t="shared" si="0"/>
        <v>122312</v>
      </c>
      <c r="B27" s="7" t="s">
        <v>249</v>
      </c>
      <c r="C27" s="7" t="s">
        <v>280</v>
      </c>
      <c r="D27" s="7" t="s">
        <v>294</v>
      </c>
      <c r="E27" s="7" t="s">
        <v>301</v>
      </c>
      <c r="F27" s="7" t="s">
        <v>254</v>
      </c>
      <c r="G27" s="7" t="s">
        <v>268</v>
      </c>
      <c r="H27" s="9">
        <f>'Table 4 ASHRAE'!$I$16</f>
        <v>0.56000000000000005</v>
      </c>
      <c r="I27" s="9">
        <f t="shared" si="2"/>
        <v>1.7857142857142856</v>
      </c>
      <c r="J27" s="20">
        <f>VLOOKUP(B27,Contrôle!$C$3:$D$4,2,FALSE)</f>
        <v>100000</v>
      </c>
      <c r="K27" s="20">
        <f>VLOOKUP(C27,Contrôle!$C$5:$D$7,2,FALSE)</f>
        <v>20000</v>
      </c>
      <c r="L27" s="20">
        <f>VLOOKUP(D27,Contrôle!$C$8:$D$10,2,FALSE)</f>
        <v>2000</v>
      </c>
      <c r="M27" s="20">
        <f>VLOOKUP(E27,Contrôle!$C$11:$D$13,2,FALSE)</f>
        <v>300</v>
      </c>
      <c r="N27" s="20">
        <f>VLOOKUP(F27,Contrôle!$C$14:$D$15,2,FALSE)</f>
        <v>10</v>
      </c>
      <c r="O27" s="20">
        <f>VLOOKUP(G27,Contrôle!$C$16:$D$17,2,FALSE)</f>
        <v>2</v>
      </c>
    </row>
    <row r="28" spans="1:15" x14ac:dyDescent="0.2">
      <c r="A28" s="8">
        <f t="shared" si="0"/>
        <v>122321</v>
      </c>
      <c r="B28" s="7" t="s">
        <v>249</v>
      </c>
      <c r="C28" s="7" t="s">
        <v>280</v>
      </c>
      <c r="D28" s="7" t="s">
        <v>294</v>
      </c>
      <c r="E28" s="7" t="s">
        <v>301</v>
      </c>
      <c r="F28" s="7" t="s">
        <v>268</v>
      </c>
      <c r="G28" s="7" t="s">
        <v>254</v>
      </c>
      <c r="H28" s="9">
        <f>'Table 4 ASHRAE'!I34</f>
        <v>0.46</v>
      </c>
      <c r="I28" s="9">
        <f t="shared" si="2"/>
        <v>2.1739130434782608</v>
      </c>
      <c r="J28" s="20">
        <f>VLOOKUP(B28,Contrôle!$C$3:$D$4,2,FALSE)</f>
        <v>100000</v>
      </c>
      <c r="K28" s="20">
        <f>VLOOKUP(C28,Contrôle!$C$5:$D$7,2,FALSE)</f>
        <v>20000</v>
      </c>
      <c r="L28" s="20">
        <f>VLOOKUP(D28,Contrôle!$C$8:$D$10,2,FALSE)</f>
        <v>2000</v>
      </c>
      <c r="M28" s="20">
        <f>VLOOKUP(E28,Contrôle!$C$11:$D$13,2,FALSE)</f>
        <v>300</v>
      </c>
      <c r="N28" s="20">
        <f>VLOOKUP(F28,Contrôle!$C$14:$D$15,2,FALSE)</f>
        <v>20</v>
      </c>
      <c r="O28" s="20">
        <f>VLOOKUP(G28,Contrôle!$C$16:$D$17,2,FALSE)</f>
        <v>1</v>
      </c>
    </row>
    <row r="29" spans="1:15" x14ac:dyDescent="0.2">
      <c r="A29" s="8">
        <f t="shared" si="0"/>
        <v>122322</v>
      </c>
      <c r="B29" s="7" t="s">
        <v>249</v>
      </c>
      <c r="C29" s="7" t="s">
        <v>280</v>
      </c>
      <c r="D29" s="7" t="s">
        <v>294</v>
      </c>
      <c r="E29" s="7" t="s">
        <v>301</v>
      </c>
      <c r="F29" s="7" t="s">
        <v>268</v>
      </c>
      <c r="G29" s="7" t="s">
        <v>268</v>
      </c>
      <c r="H29" s="9">
        <f>'Table 4 ASHRAE'!$I$14</f>
        <v>0.57999999999999996</v>
      </c>
      <c r="I29" s="9">
        <f t="shared" si="2"/>
        <v>1.7241379310344829</v>
      </c>
      <c r="J29" s="20">
        <f>VLOOKUP(B29,Contrôle!$C$3:$D$4,2,FALSE)</f>
        <v>100000</v>
      </c>
      <c r="K29" s="20">
        <f>VLOOKUP(C29,Contrôle!$C$5:$D$7,2,FALSE)</f>
        <v>20000</v>
      </c>
      <c r="L29" s="20">
        <f>VLOOKUP(D29,Contrôle!$C$8:$D$10,2,FALSE)</f>
        <v>2000</v>
      </c>
      <c r="M29" s="20">
        <f>VLOOKUP(E29,Contrôle!$C$11:$D$13,2,FALSE)</f>
        <v>300</v>
      </c>
      <c r="N29" s="20">
        <f>VLOOKUP(F29,Contrôle!$C$14:$D$15,2,FALSE)</f>
        <v>20</v>
      </c>
      <c r="O29" s="20">
        <f>VLOOKUP(G29,Contrôle!$C$16:$D$17,2,FALSE)</f>
        <v>2</v>
      </c>
    </row>
    <row r="30" spans="1:15" x14ac:dyDescent="0.2">
      <c r="A30" s="8">
        <f t="shared" si="0"/>
        <v>132211</v>
      </c>
      <c r="B30" s="7" t="s">
        <v>249</v>
      </c>
      <c r="C30" s="7" t="s">
        <v>285</v>
      </c>
      <c r="D30" s="7" t="s">
        <v>294</v>
      </c>
      <c r="E30" s="7" t="s">
        <v>300</v>
      </c>
      <c r="F30" s="7" t="s">
        <v>254</v>
      </c>
      <c r="G30" s="7" t="s">
        <v>254</v>
      </c>
      <c r="H30" s="9">
        <f>'Table 4 ASHRAE'!I60</f>
        <v>0.36</v>
      </c>
      <c r="I30" s="9">
        <f t="shared" si="2"/>
        <v>2.7777777777777777</v>
      </c>
      <c r="J30" s="20">
        <f>VLOOKUP(B30,Contrôle!$C$3:$D$4,2,FALSE)</f>
        <v>100000</v>
      </c>
      <c r="K30" s="20">
        <f>VLOOKUP(C30,Contrôle!$C$5:$D$7,2,FALSE)</f>
        <v>30000</v>
      </c>
      <c r="L30" s="20">
        <f>VLOOKUP(D30,Contrôle!$C$8:$D$10,2,FALSE)</f>
        <v>2000</v>
      </c>
      <c r="M30" s="20">
        <f>VLOOKUP(E30,Contrôle!$C$11:$D$13,2,FALSE)</f>
        <v>200</v>
      </c>
      <c r="N30" s="20">
        <f>VLOOKUP(F30,Contrôle!$C$14:$D$15,2,FALSE)</f>
        <v>10</v>
      </c>
      <c r="O30" s="20">
        <f>VLOOKUP(G30,Contrôle!$C$16:$D$17,2,FALSE)</f>
        <v>1</v>
      </c>
    </row>
    <row r="31" spans="1:15" x14ac:dyDescent="0.2">
      <c r="A31" s="8">
        <f t="shared" ref="A31:A62" si="3">SUM(J31:O31)</f>
        <v>132212</v>
      </c>
      <c r="B31" s="7" t="s">
        <v>249</v>
      </c>
      <c r="C31" s="7" t="s">
        <v>285</v>
      </c>
      <c r="D31" s="7" t="s">
        <v>294</v>
      </c>
      <c r="E31" s="7" t="s">
        <v>300</v>
      </c>
      <c r="F31" s="7" t="s">
        <v>254</v>
      </c>
      <c r="G31" s="7" t="s">
        <v>268</v>
      </c>
      <c r="H31" s="9">
        <f>'Table 4 ASHRAE'!I45</f>
        <v>0.46</v>
      </c>
      <c r="I31" s="9">
        <f t="shared" si="2"/>
        <v>2.1739130434782608</v>
      </c>
      <c r="J31" s="20">
        <f>VLOOKUP(B31,Contrôle!$C$3:$D$4,2,FALSE)</f>
        <v>100000</v>
      </c>
      <c r="K31" s="20">
        <f>VLOOKUP(C31,Contrôle!$C$5:$D$7,2,FALSE)</f>
        <v>30000</v>
      </c>
      <c r="L31" s="20">
        <f>VLOOKUP(D31,Contrôle!$C$8:$D$10,2,FALSE)</f>
        <v>2000</v>
      </c>
      <c r="M31" s="20">
        <f>VLOOKUP(E31,Contrôle!$C$11:$D$13,2,FALSE)</f>
        <v>200</v>
      </c>
      <c r="N31" s="20">
        <f>VLOOKUP(F31,Contrôle!$C$14:$D$15,2,FALSE)</f>
        <v>10</v>
      </c>
      <c r="O31" s="20">
        <f>VLOOKUP(G31,Contrôle!$C$16:$D$17,2,FALSE)</f>
        <v>2</v>
      </c>
    </row>
    <row r="32" spans="1:15" x14ac:dyDescent="0.2">
      <c r="A32" s="8">
        <f t="shared" si="3"/>
        <v>132221</v>
      </c>
      <c r="B32" s="7" t="s">
        <v>249</v>
      </c>
      <c r="C32" s="7" t="s">
        <v>285</v>
      </c>
      <c r="D32" s="7" t="s">
        <v>294</v>
      </c>
      <c r="E32" s="7" t="s">
        <v>300</v>
      </c>
      <c r="F32" s="7" t="s">
        <v>268</v>
      </c>
      <c r="G32" s="7" t="s">
        <v>254</v>
      </c>
      <c r="H32" s="9">
        <f>'Table 4 ASHRAE'!I58</f>
        <v>0.4</v>
      </c>
      <c r="I32" s="9">
        <f t="shared" si="2"/>
        <v>2.5</v>
      </c>
      <c r="J32" s="20">
        <f>VLOOKUP(B32,Contrôle!$C$3:$D$4,2,FALSE)</f>
        <v>100000</v>
      </c>
      <c r="K32" s="20">
        <f>VLOOKUP(C32,Contrôle!$C$5:$D$7,2,FALSE)</f>
        <v>30000</v>
      </c>
      <c r="L32" s="20">
        <f>VLOOKUP(D32,Contrôle!$C$8:$D$10,2,FALSE)</f>
        <v>2000</v>
      </c>
      <c r="M32" s="20">
        <f>VLOOKUP(E32,Contrôle!$C$11:$D$13,2,FALSE)</f>
        <v>200</v>
      </c>
      <c r="N32" s="20">
        <f>VLOOKUP(F32,Contrôle!$C$14:$D$15,2,FALSE)</f>
        <v>20</v>
      </c>
      <c r="O32" s="20">
        <f>VLOOKUP(G32,Contrôle!$C$16:$D$17,2,FALSE)</f>
        <v>1</v>
      </c>
    </row>
    <row r="33" spans="1:15" x14ac:dyDescent="0.2">
      <c r="A33" s="8">
        <f t="shared" si="3"/>
        <v>132222</v>
      </c>
      <c r="B33" s="7" t="s">
        <v>249</v>
      </c>
      <c r="C33" s="7" t="s">
        <v>285</v>
      </c>
      <c r="D33" s="7" t="s">
        <v>294</v>
      </c>
      <c r="E33" s="7" t="s">
        <v>300</v>
      </c>
      <c r="F33" s="7" t="s">
        <v>268</v>
      </c>
      <c r="G33" s="7" t="s">
        <v>268</v>
      </c>
      <c r="H33" s="9">
        <f>'Table 4 ASHRAE'!I43</f>
        <v>0.49</v>
      </c>
      <c r="I33" s="9">
        <f t="shared" si="2"/>
        <v>2.0408163265306123</v>
      </c>
      <c r="J33" s="20">
        <f>VLOOKUP(B33,Contrôle!$C$3:$D$4,2,FALSE)</f>
        <v>100000</v>
      </c>
      <c r="K33" s="20">
        <f>VLOOKUP(C33,Contrôle!$C$5:$D$7,2,FALSE)</f>
        <v>30000</v>
      </c>
      <c r="L33" s="20">
        <f>VLOOKUP(D33,Contrôle!$C$8:$D$10,2,FALSE)</f>
        <v>2000</v>
      </c>
      <c r="M33" s="20">
        <f>VLOOKUP(E33,Contrôle!$C$11:$D$13,2,FALSE)</f>
        <v>200</v>
      </c>
      <c r="N33" s="20">
        <f>VLOOKUP(F33,Contrôle!$C$14:$D$15,2,FALSE)</f>
        <v>20</v>
      </c>
      <c r="O33" s="20">
        <f>VLOOKUP(G33,Contrôle!$C$16:$D$17,2,FALSE)</f>
        <v>2</v>
      </c>
    </row>
    <row r="34" spans="1:15" x14ac:dyDescent="0.2">
      <c r="A34" s="8">
        <f t="shared" si="3"/>
        <v>132311</v>
      </c>
      <c r="B34" s="7" t="s">
        <v>249</v>
      </c>
      <c r="C34" s="7" t="s">
        <v>285</v>
      </c>
      <c r="D34" s="7" t="s">
        <v>294</v>
      </c>
      <c r="E34" s="7" t="s">
        <v>301</v>
      </c>
      <c r="F34" s="7" t="s">
        <v>254</v>
      </c>
      <c r="G34" s="7" t="s">
        <v>254</v>
      </c>
      <c r="H34" s="9">
        <f>'Table 4 ASHRAE'!I61</f>
        <v>0.3</v>
      </c>
      <c r="I34" s="9">
        <f t="shared" si="2"/>
        <v>3.3333333333333335</v>
      </c>
      <c r="J34" s="20">
        <f>VLOOKUP(B34,Contrôle!$C$3:$D$4,2,FALSE)</f>
        <v>100000</v>
      </c>
      <c r="K34" s="20">
        <f>VLOOKUP(C34,Contrôle!$C$5:$D$7,2,FALSE)</f>
        <v>30000</v>
      </c>
      <c r="L34" s="20">
        <f>VLOOKUP(D34,Contrôle!$C$8:$D$10,2,FALSE)</f>
        <v>2000</v>
      </c>
      <c r="M34" s="20">
        <f>VLOOKUP(E34,Contrôle!$C$11:$D$13,2,FALSE)</f>
        <v>300</v>
      </c>
      <c r="N34" s="20">
        <f>VLOOKUP(F34,Contrôle!$C$14:$D$15,2,FALSE)</f>
        <v>10</v>
      </c>
      <c r="O34" s="20">
        <f>VLOOKUP(G34,Contrôle!$C$16:$D$17,2,FALSE)</f>
        <v>1</v>
      </c>
    </row>
    <row r="35" spans="1:15" x14ac:dyDescent="0.2">
      <c r="A35" s="8">
        <f t="shared" si="3"/>
        <v>132312</v>
      </c>
      <c r="B35" s="7" t="s">
        <v>249</v>
      </c>
      <c r="C35" s="7" t="s">
        <v>285</v>
      </c>
      <c r="D35" s="7" t="s">
        <v>294</v>
      </c>
      <c r="E35" s="7" t="s">
        <v>301</v>
      </c>
      <c r="F35" s="7" t="s">
        <v>254</v>
      </c>
      <c r="G35" s="7" t="s">
        <v>268</v>
      </c>
      <c r="H35" s="9">
        <f>'Table 4 ASHRAE'!I46</f>
        <v>0.42</v>
      </c>
      <c r="I35" s="9">
        <f t="shared" si="2"/>
        <v>2.3809523809523809</v>
      </c>
      <c r="J35" s="20">
        <f>VLOOKUP(B35,Contrôle!$C$3:$D$4,2,FALSE)</f>
        <v>100000</v>
      </c>
      <c r="K35" s="20">
        <f>VLOOKUP(C35,Contrôle!$C$5:$D$7,2,FALSE)</f>
        <v>30000</v>
      </c>
      <c r="L35" s="20">
        <f>VLOOKUP(D35,Contrôle!$C$8:$D$10,2,FALSE)</f>
        <v>2000</v>
      </c>
      <c r="M35" s="20">
        <f>VLOOKUP(E35,Contrôle!$C$11:$D$13,2,FALSE)</f>
        <v>300</v>
      </c>
      <c r="N35" s="20">
        <f>VLOOKUP(F35,Contrôle!$C$14:$D$15,2,FALSE)</f>
        <v>10</v>
      </c>
      <c r="O35" s="20">
        <f>VLOOKUP(G35,Contrôle!$C$16:$D$17,2,FALSE)</f>
        <v>2</v>
      </c>
    </row>
    <row r="36" spans="1:15" x14ac:dyDescent="0.2">
      <c r="A36" s="8">
        <f t="shared" si="3"/>
        <v>132321</v>
      </c>
      <c r="B36" s="7" t="s">
        <v>249</v>
      </c>
      <c r="C36" s="7" t="s">
        <v>285</v>
      </c>
      <c r="D36" s="7" t="s">
        <v>294</v>
      </c>
      <c r="E36" s="7" t="s">
        <v>301</v>
      </c>
      <c r="F36" s="7" t="s">
        <v>268</v>
      </c>
      <c r="G36" s="7" t="s">
        <v>254</v>
      </c>
      <c r="H36" s="9">
        <f>'Table 4 ASHRAE'!I59</f>
        <v>0.34</v>
      </c>
      <c r="I36" s="9">
        <f t="shared" si="2"/>
        <v>2.9411764705882351</v>
      </c>
      <c r="J36" s="20">
        <f>VLOOKUP(B36,Contrôle!$C$3:$D$4,2,FALSE)</f>
        <v>100000</v>
      </c>
      <c r="K36" s="20">
        <f>VLOOKUP(C36,Contrôle!$C$5:$D$7,2,FALSE)</f>
        <v>30000</v>
      </c>
      <c r="L36" s="20">
        <f>VLOOKUP(D36,Contrôle!$C$8:$D$10,2,FALSE)</f>
        <v>2000</v>
      </c>
      <c r="M36" s="20">
        <f>VLOOKUP(E36,Contrôle!$C$11:$D$13,2,FALSE)</f>
        <v>300</v>
      </c>
      <c r="N36" s="20">
        <f>VLOOKUP(F36,Contrôle!$C$14:$D$15,2,FALSE)</f>
        <v>20</v>
      </c>
      <c r="O36" s="20">
        <f>VLOOKUP(G36,Contrôle!$C$16:$D$17,2,FALSE)</f>
        <v>1</v>
      </c>
    </row>
    <row r="37" spans="1:15" x14ac:dyDescent="0.2">
      <c r="A37" s="8">
        <f t="shared" si="3"/>
        <v>132322</v>
      </c>
      <c r="B37" s="7" t="s">
        <v>249</v>
      </c>
      <c r="C37" s="7" t="s">
        <v>285</v>
      </c>
      <c r="D37" s="7" t="s">
        <v>294</v>
      </c>
      <c r="E37" s="7" t="s">
        <v>301</v>
      </c>
      <c r="F37" s="7" t="s">
        <v>268</v>
      </c>
      <c r="G37" s="7" t="s">
        <v>268</v>
      </c>
      <c r="H37" s="9">
        <f>'Table 4 ASHRAE'!I44</f>
        <v>0.44</v>
      </c>
      <c r="I37" s="9">
        <f t="shared" si="2"/>
        <v>2.2727272727272729</v>
      </c>
      <c r="J37" s="20">
        <f>VLOOKUP(B37,Contrôle!$C$3:$D$4,2,FALSE)</f>
        <v>100000</v>
      </c>
      <c r="K37" s="20">
        <f>VLOOKUP(C37,Contrôle!$C$5:$D$7,2,FALSE)</f>
        <v>30000</v>
      </c>
      <c r="L37" s="20">
        <f>VLOOKUP(D37,Contrôle!$C$8:$D$10,2,FALSE)</f>
        <v>2000</v>
      </c>
      <c r="M37" s="20">
        <f>VLOOKUP(E37,Contrôle!$C$11:$D$13,2,FALSE)</f>
        <v>300</v>
      </c>
      <c r="N37" s="20">
        <f>VLOOKUP(F37,Contrôle!$C$14:$D$15,2,FALSE)</f>
        <v>20</v>
      </c>
      <c r="O37" s="20">
        <f>VLOOKUP(G37,Contrôle!$C$16:$D$17,2,FALSE)</f>
        <v>2</v>
      </c>
    </row>
    <row r="38" spans="1:15" x14ac:dyDescent="0.2">
      <c r="A38" s="8">
        <f t="shared" si="3"/>
        <v>113121</v>
      </c>
      <c r="B38" s="7" t="s">
        <v>249</v>
      </c>
      <c r="C38" s="7" t="s">
        <v>274</v>
      </c>
      <c r="D38" s="7" t="s">
        <v>296</v>
      </c>
      <c r="E38" s="7" t="s">
        <v>298</v>
      </c>
      <c r="F38" s="7" t="s">
        <v>268</v>
      </c>
      <c r="G38" s="7" t="s">
        <v>254</v>
      </c>
      <c r="H38" s="9">
        <f>AVERAGE('Table 4 ASHRAE'!$K$9:$K$11)</f>
        <v>0.85666666666666658</v>
      </c>
      <c r="I38" s="9">
        <f t="shared" ref="I38:I51" si="4">1/H38</f>
        <v>1.1673151750972763</v>
      </c>
      <c r="J38" s="20">
        <f>VLOOKUP(B38,Contrôle!$C$3:$D$4,2,FALSE)</f>
        <v>100000</v>
      </c>
      <c r="K38" s="20">
        <f>VLOOKUP(C38,Contrôle!$C$5:$D$7,2,FALSE)</f>
        <v>10000</v>
      </c>
      <c r="L38" s="20">
        <f>VLOOKUP(D38,Contrôle!$C$8:$D$10,2,FALSE)</f>
        <v>3000</v>
      </c>
      <c r="M38" s="20">
        <f>VLOOKUP(E38,Contrôle!$C$11:$D$13,2,FALSE)</f>
        <v>100</v>
      </c>
      <c r="N38" s="20">
        <f>VLOOKUP(F38,Contrôle!$C$14:$D$15,2,FALSE)</f>
        <v>20</v>
      </c>
      <c r="O38" s="20">
        <f>VLOOKUP(G38,Contrôle!$C$16:$D$17,2,FALSE)</f>
        <v>1</v>
      </c>
    </row>
    <row r="39" spans="1:15" x14ac:dyDescent="0.2">
      <c r="A39" s="8">
        <f t="shared" si="3"/>
        <v>113122</v>
      </c>
      <c r="B39" s="7" t="s">
        <v>249</v>
      </c>
      <c r="C39" s="7" t="s">
        <v>274</v>
      </c>
      <c r="D39" s="7" t="s">
        <v>296</v>
      </c>
      <c r="E39" s="7" t="s">
        <v>298</v>
      </c>
      <c r="F39" s="7" t="s">
        <v>268</v>
      </c>
      <c r="G39" s="7" t="s">
        <v>268</v>
      </c>
      <c r="H39" s="9">
        <f>AVERAGE('Table 4 ASHRAE'!$K$9:$K$11)</f>
        <v>0.85666666666666658</v>
      </c>
      <c r="I39" s="9">
        <f t="shared" si="4"/>
        <v>1.1673151750972763</v>
      </c>
      <c r="J39" s="20">
        <f>VLOOKUP(B39,Contrôle!$C$3:$D$4,2,FALSE)</f>
        <v>100000</v>
      </c>
      <c r="K39" s="20">
        <f>VLOOKUP(C39,Contrôle!$C$5:$D$7,2,FALSE)</f>
        <v>10000</v>
      </c>
      <c r="L39" s="20">
        <f>VLOOKUP(D39,Contrôle!$C$8:$D$10,2,FALSE)</f>
        <v>3000</v>
      </c>
      <c r="M39" s="20">
        <f>VLOOKUP(E39,Contrôle!$C$11:$D$13,2,FALSE)</f>
        <v>100</v>
      </c>
      <c r="N39" s="20">
        <f>VLOOKUP(F39,Contrôle!$C$14:$D$15,2,FALSE)</f>
        <v>20</v>
      </c>
      <c r="O39" s="20">
        <f>VLOOKUP(G39,Contrôle!$C$16:$D$17,2,FALSE)</f>
        <v>2</v>
      </c>
    </row>
    <row r="40" spans="1:15" x14ac:dyDescent="0.2">
      <c r="A40" s="8">
        <f t="shared" si="3"/>
        <v>123211</v>
      </c>
      <c r="B40" s="7" t="s">
        <v>249</v>
      </c>
      <c r="C40" s="7" t="s">
        <v>280</v>
      </c>
      <c r="D40" s="7" t="s">
        <v>296</v>
      </c>
      <c r="E40" s="7" t="s">
        <v>300</v>
      </c>
      <c r="F40" s="7" t="s">
        <v>254</v>
      </c>
      <c r="G40" s="7" t="s">
        <v>254</v>
      </c>
      <c r="H40" s="9">
        <f>'Table 4 ASHRAE'!K35</f>
        <v>0.41</v>
      </c>
      <c r="I40" s="9">
        <f t="shared" si="4"/>
        <v>2.4390243902439024</v>
      </c>
      <c r="J40" s="20">
        <f>VLOOKUP(B40,Contrôle!$C$3:$D$4,2,FALSE)</f>
        <v>100000</v>
      </c>
      <c r="K40" s="20">
        <f>VLOOKUP(C40,Contrôle!$C$5:$D$7,2,FALSE)</f>
        <v>20000</v>
      </c>
      <c r="L40" s="20">
        <f>VLOOKUP(D40,Contrôle!$C$8:$D$10,2,FALSE)</f>
        <v>3000</v>
      </c>
      <c r="M40" s="20">
        <f>VLOOKUP(E40,Contrôle!$C$11:$D$13,2,FALSE)</f>
        <v>200</v>
      </c>
      <c r="N40" s="20">
        <f>VLOOKUP(F40,Contrôle!$C$14:$D$15,2,FALSE)</f>
        <v>10</v>
      </c>
      <c r="O40" s="20">
        <f>VLOOKUP(G40,Contrôle!$C$16:$D$17,2,FALSE)</f>
        <v>1</v>
      </c>
    </row>
    <row r="41" spans="1:15" x14ac:dyDescent="0.2">
      <c r="A41" s="8">
        <f t="shared" si="3"/>
        <v>123212</v>
      </c>
      <c r="B41" s="7" t="s">
        <v>249</v>
      </c>
      <c r="C41" s="7" t="s">
        <v>280</v>
      </c>
      <c r="D41" s="7" t="s">
        <v>296</v>
      </c>
      <c r="E41" s="7" t="s">
        <v>300</v>
      </c>
      <c r="F41" s="7" t="s">
        <v>254</v>
      </c>
      <c r="G41" s="7" t="s">
        <v>268</v>
      </c>
      <c r="H41" s="9">
        <f>'Table 4 ASHRAE'!$K$15</f>
        <v>0.52</v>
      </c>
      <c r="I41" s="9">
        <f t="shared" si="4"/>
        <v>1.9230769230769229</v>
      </c>
      <c r="J41" s="20">
        <f>VLOOKUP(B41,Contrôle!$C$3:$D$4,2,FALSE)</f>
        <v>100000</v>
      </c>
      <c r="K41" s="20">
        <f>VLOOKUP(C41,Contrôle!$C$5:$D$7,2,FALSE)</f>
        <v>20000</v>
      </c>
      <c r="L41" s="20">
        <f>VLOOKUP(D41,Contrôle!$C$8:$D$10,2,FALSE)</f>
        <v>3000</v>
      </c>
      <c r="M41" s="20">
        <f>VLOOKUP(E41,Contrôle!$C$11:$D$13,2,FALSE)</f>
        <v>200</v>
      </c>
      <c r="N41" s="20">
        <f>VLOOKUP(F41,Contrôle!$C$14:$D$15,2,FALSE)</f>
        <v>10</v>
      </c>
      <c r="O41" s="20">
        <f>VLOOKUP(G41,Contrôle!$C$16:$D$17,2,FALSE)</f>
        <v>2</v>
      </c>
    </row>
    <row r="42" spans="1:15" x14ac:dyDescent="0.2">
      <c r="A42" s="8">
        <f t="shared" si="3"/>
        <v>123221</v>
      </c>
      <c r="B42" s="7" t="s">
        <v>249</v>
      </c>
      <c r="C42" s="7" t="s">
        <v>280</v>
      </c>
      <c r="D42" s="7" t="s">
        <v>296</v>
      </c>
      <c r="E42" s="7" t="s">
        <v>300</v>
      </c>
      <c r="F42" s="7" t="s">
        <v>268</v>
      </c>
      <c r="G42" s="7" t="s">
        <v>254</v>
      </c>
      <c r="H42" s="9">
        <f>'Table 4 ASHRAE'!K33</f>
        <v>0.46</v>
      </c>
      <c r="I42" s="9">
        <f t="shared" si="4"/>
        <v>2.1739130434782608</v>
      </c>
      <c r="J42" s="20">
        <f>VLOOKUP(B42,Contrôle!$C$3:$D$4,2,FALSE)</f>
        <v>100000</v>
      </c>
      <c r="K42" s="20">
        <f>VLOOKUP(C42,Contrôle!$C$5:$D$7,2,FALSE)</f>
        <v>20000</v>
      </c>
      <c r="L42" s="20">
        <f>VLOOKUP(D42,Contrôle!$C$8:$D$10,2,FALSE)</f>
        <v>3000</v>
      </c>
      <c r="M42" s="20">
        <f>VLOOKUP(E42,Contrôle!$C$11:$D$13,2,FALSE)</f>
        <v>200</v>
      </c>
      <c r="N42" s="20">
        <f>VLOOKUP(F42,Contrôle!$C$14:$D$15,2,FALSE)</f>
        <v>20</v>
      </c>
      <c r="O42" s="20">
        <f>VLOOKUP(G42,Contrôle!$C$16:$D$17,2,FALSE)</f>
        <v>1</v>
      </c>
    </row>
    <row r="43" spans="1:15" x14ac:dyDescent="0.2">
      <c r="A43" s="8">
        <f t="shared" si="3"/>
        <v>123222</v>
      </c>
      <c r="B43" s="7" t="s">
        <v>249</v>
      </c>
      <c r="C43" s="7" t="s">
        <v>280</v>
      </c>
      <c r="D43" s="7" t="s">
        <v>296</v>
      </c>
      <c r="E43" s="7" t="s">
        <v>300</v>
      </c>
      <c r="F43" s="7" t="s">
        <v>268</v>
      </c>
      <c r="G43" s="7" t="s">
        <v>268</v>
      </c>
      <c r="H43" s="9">
        <f>'Table 4 ASHRAE'!$K$13</f>
        <v>0.55000000000000004</v>
      </c>
      <c r="I43" s="9">
        <f t="shared" si="4"/>
        <v>1.8181818181818181</v>
      </c>
      <c r="J43" s="20">
        <f>VLOOKUP(B43,Contrôle!$C$3:$D$4,2,FALSE)</f>
        <v>100000</v>
      </c>
      <c r="K43" s="20">
        <f>VLOOKUP(C43,Contrôle!$C$5:$D$7,2,FALSE)</f>
        <v>20000</v>
      </c>
      <c r="L43" s="20">
        <f>VLOOKUP(D43,Contrôle!$C$8:$D$10,2,FALSE)</f>
        <v>3000</v>
      </c>
      <c r="M43" s="20">
        <f>VLOOKUP(E43,Contrôle!$C$11:$D$13,2,FALSE)</f>
        <v>200</v>
      </c>
      <c r="N43" s="20">
        <f>VLOOKUP(F43,Contrôle!$C$14:$D$15,2,FALSE)</f>
        <v>20</v>
      </c>
      <c r="O43" s="20">
        <f>VLOOKUP(G43,Contrôle!$C$16:$D$17,2,FALSE)</f>
        <v>2</v>
      </c>
    </row>
    <row r="44" spans="1:15" x14ac:dyDescent="0.2">
      <c r="A44" s="8">
        <f t="shared" si="3"/>
        <v>123311</v>
      </c>
      <c r="B44" s="7" t="s">
        <v>249</v>
      </c>
      <c r="C44" s="7" t="s">
        <v>280</v>
      </c>
      <c r="D44" s="7" t="s">
        <v>296</v>
      </c>
      <c r="E44" s="7" t="s">
        <v>301</v>
      </c>
      <c r="F44" s="7" t="s">
        <v>254</v>
      </c>
      <c r="G44" s="7" t="s">
        <v>254</v>
      </c>
      <c r="H44" s="9">
        <f>'Table 4 ASHRAE'!K36</f>
        <v>0.36</v>
      </c>
      <c r="I44" s="9">
        <f t="shared" si="4"/>
        <v>2.7777777777777777</v>
      </c>
      <c r="J44" s="20">
        <f>VLOOKUP(B44,Contrôle!$C$3:$D$4,2,FALSE)</f>
        <v>100000</v>
      </c>
      <c r="K44" s="20">
        <f>VLOOKUP(C44,Contrôle!$C$5:$D$7,2,FALSE)</f>
        <v>20000</v>
      </c>
      <c r="L44" s="20">
        <f>VLOOKUP(D44,Contrôle!$C$8:$D$10,2,FALSE)</f>
        <v>3000</v>
      </c>
      <c r="M44" s="20">
        <f>VLOOKUP(E44,Contrôle!$C$11:$D$13,2,FALSE)</f>
        <v>300</v>
      </c>
      <c r="N44" s="20">
        <f>VLOOKUP(F44,Contrôle!$C$14:$D$15,2,FALSE)</f>
        <v>10</v>
      </c>
      <c r="O44" s="20">
        <f>VLOOKUP(G44,Contrôle!$C$16:$D$17,2,FALSE)</f>
        <v>1</v>
      </c>
    </row>
    <row r="45" spans="1:15" x14ac:dyDescent="0.2">
      <c r="A45" s="8">
        <f t="shared" si="3"/>
        <v>123312</v>
      </c>
      <c r="B45" s="7" t="s">
        <v>249</v>
      </c>
      <c r="C45" s="7" t="s">
        <v>280</v>
      </c>
      <c r="D45" s="7" t="s">
        <v>296</v>
      </c>
      <c r="E45" s="7" t="s">
        <v>301</v>
      </c>
      <c r="F45" s="7" t="s">
        <v>254</v>
      </c>
      <c r="G45" s="7" t="s">
        <v>268</v>
      </c>
      <c r="H45" s="9">
        <f>'Table 4 ASHRAE'!$K$16</f>
        <v>0.48</v>
      </c>
      <c r="I45" s="9">
        <f t="shared" si="4"/>
        <v>2.0833333333333335</v>
      </c>
      <c r="J45" s="20">
        <f>VLOOKUP(B45,Contrôle!$C$3:$D$4,2,FALSE)</f>
        <v>100000</v>
      </c>
      <c r="K45" s="20">
        <f>VLOOKUP(C45,Contrôle!$C$5:$D$7,2,FALSE)</f>
        <v>20000</v>
      </c>
      <c r="L45" s="20">
        <f>VLOOKUP(D45,Contrôle!$C$8:$D$10,2,FALSE)</f>
        <v>3000</v>
      </c>
      <c r="M45" s="20">
        <f>VLOOKUP(E45,Contrôle!$C$11:$D$13,2,FALSE)</f>
        <v>300</v>
      </c>
      <c r="N45" s="20">
        <f>VLOOKUP(F45,Contrôle!$C$14:$D$15,2,FALSE)</f>
        <v>10</v>
      </c>
      <c r="O45" s="20">
        <f>VLOOKUP(G45,Contrôle!$C$16:$D$17,2,FALSE)</f>
        <v>2</v>
      </c>
    </row>
    <row r="46" spans="1:15" x14ac:dyDescent="0.2">
      <c r="A46" s="8">
        <f t="shared" si="3"/>
        <v>123321</v>
      </c>
      <c r="B46" s="7" t="s">
        <v>249</v>
      </c>
      <c r="C46" s="7" t="s">
        <v>280</v>
      </c>
      <c r="D46" s="7" t="s">
        <v>296</v>
      </c>
      <c r="E46" s="7" t="s">
        <v>301</v>
      </c>
      <c r="F46" s="7" t="s">
        <v>268</v>
      </c>
      <c r="G46" s="7" t="s">
        <v>254</v>
      </c>
      <c r="H46" s="9">
        <f>'Table 4 ASHRAE'!K34</f>
        <v>0.39</v>
      </c>
      <c r="I46" s="9">
        <f t="shared" si="4"/>
        <v>2.5641025641025639</v>
      </c>
      <c r="J46" s="20">
        <f>VLOOKUP(B46,Contrôle!$C$3:$D$4,2,FALSE)</f>
        <v>100000</v>
      </c>
      <c r="K46" s="20">
        <f>VLOOKUP(C46,Contrôle!$C$5:$D$7,2,FALSE)</f>
        <v>20000</v>
      </c>
      <c r="L46" s="20">
        <f>VLOOKUP(D46,Contrôle!$C$8:$D$10,2,FALSE)</f>
        <v>3000</v>
      </c>
      <c r="M46" s="20">
        <f>VLOOKUP(E46,Contrôle!$C$11:$D$13,2,FALSE)</f>
        <v>300</v>
      </c>
      <c r="N46" s="20">
        <f>VLOOKUP(F46,Contrôle!$C$14:$D$15,2,FALSE)</f>
        <v>20</v>
      </c>
      <c r="O46" s="20">
        <f>VLOOKUP(G46,Contrôle!$C$16:$D$17,2,FALSE)</f>
        <v>1</v>
      </c>
    </row>
    <row r="47" spans="1:15" x14ac:dyDescent="0.2">
      <c r="A47" s="8">
        <f t="shared" si="3"/>
        <v>123322</v>
      </c>
      <c r="B47" s="7" t="s">
        <v>249</v>
      </c>
      <c r="C47" s="7" t="s">
        <v>280</v>
      </c>
      <c r="D47" s="7" t="s">
        <v>296</v>
      </c>
      <c r="E47" s="7" t="s">
        <v>301</v>
      </c>
      <c r="F47" s="7" t="s">
        <v>268</v>
      </c>
      <c r="G47" s="7" t="s">
        <v>268</v>
      </c>
      <c r="H47" s="9">
        <f>'Table 4 ASHRAE'!$K$14</f>
        <v>0.5</v>
      </c>
      <c r="I47" s="9">
        <f t="shared" si="4"/>
        <v>2</v>
      </c>
      <c r="J47" s="20">
        <f>VLOOKUP(B47,Contrôle!$C$3:$D$4,2,FALSE)</f>
        <v>100000</v>
      </c>
      <c r="K47" s="20">
        <f>VLOOKUP(C47,Contrôle!$C$5:$D$7,2,FALSE)</f>
        <v>20000</v>
      </c>
      <c r="L47" s="20">
        <f>VLOOKUP(D47,Contrôle!$C$8:$D$10,2,FALSE)</f>
        <v>3000</v>
      </c>
      <c r="M47" s="20">
        <f>VLOOKUP(E47,Contrôle!$C$11:$D$13,2,FALSE)</f>
        <v>300</v>
      </c>
      <c r="N47" s="20">
        <f>VLOOKUP(F47,Contrôle!$C$14:$D$15,2,FALSE)</f>
        <v>20</v>
      </c>
      <c r="O47" s="20">
        <f>VLOOKUP(G47,Contrôle!$C$16:$D$17,2,FALSE)</f>
        <v>2</v>
      </c>
    </row>
    <row r="48" spans="1:15" x14ac:dyDescent="0.2">
      <c r="A48" s="8">
        <f t="shared" si="3"/>
        <v>133211</v>
      </c>
      <c r="B48" s="7" t="s">
        <v>249</v>
      </c>
      <c r="C48" s="7" t="s">
        <v>285</v>
      </c>
      <c r="D48" s="7" t="s">
        <v>296</v>
      </c>
      <c r="E48" s="7" t="s">
        <v>300</v>
      </c>
      <c r="F48" s="7" t="s">
        <v>254</v>
      </c>
      <c r="G48" s="7" t="s">
        <v>254</v>
      </c>
      <c r="H48" s="9">
        <f>'Table 4 ASHRAE'!K60</f>
        <v>0.31</v>
      </c>
      <c r="I48" s="9">
        <f t="shared" si="4"/>
        <v>3.2258064516129035</v>
      </c>
      <c r="J48" s="20">
        <f>VLOOKUP(B48,Contrôle!$C$3:$D$4,2,FALSE)</f>
        <v>100000</v>
      </c>
      <c r="K48" s="20">
        <f>VLOOKUP(C48,Contrôle!$C$5:$D$7,2,FALSE)</f>
        <v>30000</v>
      </c>
      <c r="L48" s="20">
        <f>VLOOKUP(D48,Contrôle!$C$8:$D$10,2,FALSE)</f>
        <v>3000</v>
      </c>
      <c r="M48" s="20">
        <f>VLOOKUP(E48,Contrôle!$C$11:$D$13,2,FALSE)</f>
        <v>200</v>
      </c>
      <c r="N48" s="20">
        <f>VLOOKUP(F48,Contrôle!$C$14:$D$15,2,FALSE)</f>
        <v>10</v>
      </c>
      <c r="O48" s="20">
        <f>VLOOKUP(G48,Contrôle!$C$16:$D$17,2,FALSE)</f>
        <v>1</v>
      </c>
    </row>
    <row r="49" spans="1:15" x14ac:dyDescent="0.2">
      <c r="A49" s="8">
        <f t="shared" si="3"/>
        <v>133212</v>
      </c>
      <c r="B49" s="7" t="s">
        <v>249</v>
      </c>
      <c r="C49" s="7" t="s">
        <v>285</v>
      </c>
      <c r="D49" s="7" t="s">
        <v>296</v>
      </c>
      <c r="E49" s="7" t="s">
        <v>300</v>
      </c>
      <c r="F49" s="7" t="s">
        <v>254</v>
      </c>
      <c r="G49" s="7" t="s">
        <v>268</v>
      </c>
      <c r="H49" s="9">
        <f>'Table 4 ASHRAE'!K45</f>
        <v>0.4</v>
      </c>
      <c r="I49" s="9">
        <f t="shared" si="4"/>
        <v>2.5</v>
      </c>
      <c r="J49" s="20">
        <f>VLOOKUP(B49,Contrôle!$C$3:$D$4,2,FALSE)</f>
        <v>100000</v>
      </c>
      <c r="K49" s="20">
        <f>VLOOKUP(C49,Contrôle!$C$5:$D$7,2,FALSE)</f>
        <v>30000</v>
      </c>
      <c r="L49" s="20">
        <f>VLOOKUP(D49,Contrôle!$C$8:$D$10,2,FALSE)</f>
        <v>3000</v>
      </c>
      <c r="M49" s="20">
        <f>VLOOKUP(E49,Contrôle!$C$11:$D$13,2,FALSE)</f>
        <v>200</v>
      </c>
      <c r="N49" s="20">
        <f>VLOOKUP(F49,Contrôle!$C$14:$D$15,2,FALSE)</f>
        <v>10</v>
      </c>
      <c r="O49" s="20">
        <f>VLOOKUP(G49,Contrôle!$C$16:$D$17,2,FALSE)</f>
        <v>2</v>
      </c>
    </row>
    <row r="50" spans="1:15" x14ac:dyDescent="0.2">
      <c r="A50" s="8">
        <f t="shared" si="3"/>
        <v>133221</v>
      </c>
      <c r="B50" s="7" t="s">
        <v>249</v>
      </c>
      <c r="C50" s="7" t="s">
        <v>285</v>
      </c>
      <c r="D50" s="7" t="s">
        <v>296</v>
      </c>
      <c r="E50" s="7" t="s">
        <v>300</v>
      </c>
      <c r="F50" s="7" t="s">
        <v>268</v>
      </c>
      <c r="G50" s="7" t="s">
        <v>254</v>
      </c>
      <c r="H50" s="9">
        <f>'Table 4 ASHRAE'!K58</f>
        <v>0.35</v>
      </c>
      <c r="I50" s="9">
        <f t="shared" si="4"/>
        <v>2.8571428571428572</v>
      </c>
      <c r="J50" s="20">
        <f>VLOOKUP(B50,Contrôle!$C$3:$D$4,2,FALSE)</f>
        <v>100000</v>
      </c>
      <c r="K50" s="20">
        <f>VLOOKUP(C50,Contrôle!$C$5:$D$7,2,FALSE)</f>
        <v>30000</v>
      </c>
      <c r="L50" s="20">
        <f>VLOOKUP(D50,Contrôle!$C$8:$D$10,2,FALSE)</f>
        <v>3000</v>
      </c>
      <c r="M50" s="20">
        <f>VLOOKUP(E50,Contrôle!$C$11:$D$13,2,FALSE)</f>
        <v>200</v>
      </c>
      <c r="N50" s="20">
        <f>VLOOKUP(F50,Contrôle!$C$14:$D$15,2,FALSE)</f>
        <v>20</v>
      </c>
      <c r="O50" s="20">
        <f>VLOOKUP(G50,Contrôle!$C$16:$D$17,2,FALSE)</f>
        <v>1</v>
      </c>
    </row>
    <row r="51" spans="1:15" x14ac:dyDescent="0.2">
      <c r="A51" s="8">
        <f t="shared" si="3"/>
        <v>133222</v>
      </c>
      <c r="B51" s="7" t="s">
        <v>249</v>
      </c>
      <c r="C51" s="7" t="s">
        <v>285</v>
      </c>
      <c r="D51" s="7" t="s">
        <v>296</v>
      </c>
      <c r="E51" s="7" t="s">
        <v>300</v>
      </c>
      <c r="F51" s="7" t="s">
        <v>268</v>
      </c>
      <c r="G51" s="7" t="s">
        <v>268</v>
      </c>
      <c r="H51" s="9">
        <f>'Table 4 ASHRAE'!K43</f>
        <v>0.43</v>
      </c>
      <c r="I51" s="9">
        <f t="shared" si="4"/>
        <v>2.3255813953488373</v>
      </c>
      <c r="J51" s="20">
        <f>VLOOKUP(B51,Contrôle!$C$3:$D$4,2,FALSE)</f>
        <v>100000</v>
      </c>
      <c r="K51" s="20">
        <f>VLOOKUP(C51,Contrôle!$C$5:$D$7,2,FALSE)</f>
        <v>30000</v>
      </c>
      <c r="L51" s="20">
        <f>VLOOKUP(D51,Contrôle!$C$8:$D$10,2,FALSE)</f>
        <v>3000</v>
      </c>
      <c r="M51" s="20">
        <f>VLOOKUP(E51,Contrôle!$C$11:$D$13,2,FALSE)</f>
        <v>200</v>
      </c>
      <c r="N51" s="20">
        <f>VLOOKUP(F51,Contrôle!$C$14:$D$15,2,FALSE)</f>
        <v>20</v>
      </c>
      <c r="O51" s="20">
        <f>VLOOKUP(G51,Contrôle!$C$16:$D$17,2,FALSE)</f>
        <v>2</v>
      </c>
    </row>
    <row r="52" spans="1:15" x14ac:dyDescent="0.2">
      <c r="A52" s="8">
        <f t="shared" si="3"/>
        <v>133311</v>
      </c>
      <c r="B52" s="7" t="s">
        <v>249</v>
      </c>
      <c r="C52" s="7" t="s">
        <v>285</v>
      </c>
      <c r="D52" s="7" t="s">
        <v>296</v>
      </c>
      <c r="E52" s="7" t="s">
        <v>301</v>
      </c>
      <c r="F52" s="7" t="s">
        <v>254</v>
      </c>
      <c r="G52" s="7" t="s">
        <v>254</v>
      </c>
      <c r="H52" s="9">
        <f>'Table 4 ASHRAE'!K61</f>
        <v>0.26</v>
      </c>
      <c r="I52" s="9">
        <f t="shared" ref="I52:I65" si="5">1/H52</f>
        <v>3.8461538461538458</v>
      </c>
      <c r="J52" s="20">
        <f>VLOOKUP(B52,Contrôle!$C$3:$D$4,2,FALSE)</f>
        <v>100000</v>
      </c>
      <c r="K52" s="20">
        <f>VLOOKUP(C52,Contrôle!$C$5:$D$7,2,FALSE)</f>
        <v>30000</v>
      </c>
      <c r="L52" s="20">
        <f>VLOOKUP(D52,Contrôle!$C$8:$D$10,2,FALSE)</f>
        <v>3000</v>
      </c>
      <c r="M52" s="20">
        <f>VLOOKUP(E52,Contrôle!$C$11:$D$13,2,FALSE)</f>
        <v>300</v>
      </c>
      <c r="N52" s="20">
        <f>VLOOKUP(F52,Contrôle!$C$14:$D$15,2,FALSE)</f>
        <v>10</v>
      </c>
      <c r="O52" s="20">
        <f>VLOOKUP(G52,Contrôle!$C$16:$D$17,2,FALSE)</f>
        <v>1</v>
      </c>
    </row>
    <row r="53" spans="1:15" x14ac:dyDescent="0.2">
      <c r="A53" s="8">
        <f t="shared" si="3"/>
        <v>133312</v>
      </c>
      <c r="B53" s="7" t="s">
        <v>249</v>
      </c>
      <c r="C53" s="7" t="s">
        <v>285</v>
      </c>
      <c r="D53" s="7" t="s">
        <v>296</v>
      </c>
      <c r="E53" s="7" t="s">
        <v>301</v>
      </c>
      <c r="F53" s="7" t="s">
        <v>254</v>
      </c>
      <c r="G53" s="7" t="s">
        <v>268</v>
      </c>
      <c r="H53" s="9">
        <f>'Table 4 ASHRAE'!K46</f>
        <v>0.36</v>
      </c>
      <c r="I53" s="9">
        <f t="shared" si="5"/>
        <v>2.7777777777777777</v>
      </c>
      <c r="J53" s="20">
        <f>VLOOKUP(B53,Contrôle!$C$3:$D$4,2,FALSE)</f>
        <v>100000</v>
      </c>
      <c r="K53" s="20">
        <f>VLOOKUP(C53,Contrôle!$C$5:$D$7,2,FALSE)</f>
        <v>30000</v>
      </c>
      <c r="L53" s="20">
        <f>VLOOKUP(D53,Contrôle!$C$8:$D$10,2,FALSE)</f>
        <v>3000</v>
      </c>
      <c r="M53" s="20">
        <f>VLOOKUP(E53,Contrôle!$C$11:$D$13,2,FALSE)</f>
        <v>300</v>
      </c>
      <c r="N53" s="20">
        <f>VLOOKUP(F53,Contrôle!$C$14:$D$15,2,FALSE)</f>
        <v>10</v>
      </c>
      <c r="O53" s="20">
        <f>VLOOKUP(G53,Contrôle!$C$16:$D$17,2,FALSE)</f>
        <v>2</v>
      </c>
    </row>
    <row r="54" spans="1:15" x14ac:dyDescent="0.2">
      <c r="A54" s="8">
        <f t="shared" si="3"/>
        <v>133321</v>
      </c>
      <c r="B54" s="7" t="s">
        <v>249</v>
      </c>
      <c r="C54" s="7" t="s">
        <v>285</v>
      </c>
      <c r="D54" s="7" t="s">
        <v>296</v>
      </c>
      <c r="E54" s="7" t="s">
        <v>301</v>
      </c>
      <c r="F54" s="7" t="s">
        <v>268</v>
      </c>
      <c r="G54" s="7" t="s">
        <v>254</v>
      </c>
      <c r="H54" s="9">
        <f>'Table 4 ASHRAE'!K59</f>
        <v>0.28000000000000003</v>
      </c>
      <c r="I54" s="9">
        <f t="shared" si="5"/>
        <v>3.5714285714285712</v>
      </c>
      <c r="J54" s="20">
        <f>VLOOKUP(B54,Contrôle!$C$3:$D$4,2,FALSE)</f>
        <v>100000</v>
      </c>
      <c r="K54" s="20">
        <f>VLOOKUP(C54,Contrôle!$C$5:$D$7,2,FALSE)</f>
        <v>30000</v>
      </c>
      <c r="L54" s="20">
        <f>VLOOKUP(D54,Contrôle!$C$8:$D$10,2,FALSE)</f>
        <v>3000</v>
      </c>
      <c r="M54" s="20">
        <f>VLOOKUP(E54,Contrôle!$C$11:$D$13,2,FALSE)</f>
        <v>300</v>
      </c>
      <c r="N54" s="20">
        <f>VLOOKUP(F54,Contrôle!$C$14:$D$15,2,FALSE)</f>
        <v>20</v>
      </c>
      <c r="O54" s="20">
        <f>VLOOKUP(G54,Contrôle!$C$16:$D$17,2,FALSE)</f>
        <v>1</v>
      </c>
    </row>
    <row r="55" spans="1:15" x14ac:dyDescent="0.2">
      <c r="A55" s="8">
        <f t="shared" si="3"/>
        <v>133322</v>
      </c>
      <c r="B55" s="7" t="s">
        <v>249</v>
      </c>
      <c r="C55" s="7" t="s">
        <v>285</v>
      </c>
      <c r="D55" s="7" t="s">
        <v>296</v>
      </c>
      <c r="E55" s="7" t="s">
        <v>301</v>
      </c>
      <c r="F55" s="7" t="s">
        <v>268</v>
      </c>
      <c r="G55" s="7" t="s">
        <v>268</v>
      </c>
      <c r="H55" s="9">
        <f>'Table 4 ASHRAE'!K44</f>
        <v>0.38</v>
      </c>
      <c r="I55" s="9">
        <f t="shared" si="5"/>
        <v>2.6315789473684212</v>
      </c>
      <c r="J55" s="20">
        <f>VLOOKUP(B55,Contrôle!$C$3:$D$4,2,FALSE)</f>
        <v>100000</v>
      </c>
      <c r="K55" s="20">
        <f>VLOOKUP(C55,Contrôle!$C$5:$D$7,2,FALSE)</f>
        <v>30000</v>
      </c>
      <c r="L55" s="20">
        <f>VLOOKUP(D55,Contrôle!$C$8:$D$10,2,FALSE)</f>
        <v>3000</v>
      </c>
      <c r="M55" s="20">
        <f>VLOOKUP(E55,Contrôle!$C$11:$D$13,2,FALSE)</f>
        <v>300</v>
      </c>
      <c r="N55" s="20">
        <f>VLOOKUP(F55,Contrôle!$C$14:$D$15,2,FALSE)</f>
        <v>20</v>
      </c>
      <c r="O55" s="20">
        <f>VLOOKUP(G55,Contrôle!$C$16:$D$17,2,FALSE)</f>
        <v>2</v>
      </c>
    </row>
    <row r="56" spans="1:15" x14ac:dyDescent="0.2">
      <c r="A56" s="8">
        <f t="shared" si="3"/>
        <v>211121</v>
      </c>
      <c r="B56" s="7" t="s">
        <v>263</v>
      </c>
      <c r="C56" s="7" t="s">
        <v>274</v>
      </c>
      <c r="D56" s="7" t="s">
        <v>290</v>
      </c>
      <c r="E56" s="7" t="s">
        <v>298</v>
      </c>
      <c r="F56" s="7" t="s">
        <v>268</v>
      </c>
      <c r="G56" s="7" t="s">
        <v>254</v>
      </c>
      <c r="H56" s="9">
        <f>AVERAGE('Table 4 ASHRAE'!$N$9:$N$11)</f>
        <v>1.05</v>
      </c>
      <c r="I56" s="9">
        <f t="shared" si="5"/>
        <v>0.95238095238095233</v>
      </c>
      <c r="J56" s="20">
        <f>VLOOKUP(B56,Contrôle!$C$3:$D$4,2,FALSE)</f>
        <v>200000</v>
      </c>
      <c r="K56" s="20">
        <f>VLOOKUP(C56,Contrôle!$C$5:$D$7,2,FALSE)</f>
        <v>10000</v>
      </c>
      <c r="L56" s="20">
        <f>VLOOKUP(D56,Contrôle!$C$8:$D$10,2,FALSE)</f>
        <v>1000</v>
      </c>
      <c r="M56" s="20">
        <f>VLOOKUP(E56,Contrôle!$C$11:$D$13,2,FALSE)</f>
        <v>100</v>
      </c>
      <c r="N56" s="20">
        <f>VLOOKUP(F56,Contrôle!$C$14:$D$15,2,FALSE)</f>
        <v>20</v>
      </c>
      <c r="O56" s="20">
        <f>VLOOKUP(G56,Contrôle!$C$16:$D$17,2,FALSE)</f>
        <v>1</v>
      </c>
    </row>
    <row r="57" spans="1:15" x14ac:dyDescent="0.2">
      <c r="A57" s="8">
        <f t="shared" si="3"/>
        <v>211122</v>
      </c>
      <c r="B57" s="7" t="s">
        <v>263</v>
      </c>
      <c r="C57" s="7" t="s">
        <v>274</v>
      </c>
      <c r="D57" s="7" t="s">
        <v>290</v>
      </c>
      <c r="E57" s="7" t="s">
        <v>298</v>
      </c>
      <c r="F57" s="7" t="s">
        <v>268</v>
      </c>
      <c r="G57" s="7" t="s">
        <v>268</v>
      </c>
      <c r="H57" s="9">
        <f>AVERAGE('Table 4 ASHRAE'!$N$9:$N$11)</f>
        <v>1.05</v>
      </c>
      <c r="I57" s="9">
        <f t="shared" si="5"/>
        <v>0.95238095238095233</v>
      </c>
      <c r="J57" s="20">
        <f>VLOOKUP(B57,Contrôle!$C$3:$D$4,2,FALSE)</f>
        <v>200000</v>
      </c>
      <c r="K57" s="20">
        <f>VLOOKUP(C57,Contrôle!$C$5:$D$7,2,FALSE)</f>
        <v>10000</v>
      </c>
      <c r="L57" s="20">
        <f>VLOOKUP(D57,Contrôle!$C$8:$D$10,2,FALSE)</f>
        <v>1000</v>
      </c>
      <c r="M57" s="20">
        <f>VLOOKUP(E57,Contrôle!$C$11:$D$13,2,FALSE)</f>
        <v>100</v>
      </c>
      <c r="N57" s="20">
        <f>VLOOKUP(F57,Contrôle!$C$14:$D$15,2,FALSE)</f>
        <v>20</v>
      </c>
      <c r="O57" s="20">
        <f>VLOOKUP(G57,Contrôle!$C$16:$D$17,2,FALSE)</f>
        <v>2</v>
      </c>
    </row>
    <row r="58" spans="1:15" x14ac:dyDescent="0.2">
      <c r="A58" s="8">
        <f t="shared" si="3"/>
        <v>221211</v>
      </c>
      <c r="B58" s="7" t="s">
        <v>263</v>
      </c>
      <c r="C58" s="7" t="s">
        <v>280</v>
      </c>
      <c r="D58" s="7" t="s">
        <v>290</v>
      </c>
      <c r="E58" s="7" t="s">
        <v>300</v>
      </c>
      <c r="F58" s="7" t="s">
        <v>254</v>
      </c>
      <c r="G58" s="7" t="s">
        <v>254</v>
      </c>
      <c r="H58" s="9">
        <f>'Table 4 ASHRAE'!N35</f>
        <v>0.51</v>
      </c>
      <c r="I58" s="9">
        <f t="shared" si="5"/>
        <v>1.9607843137254901</v>
      </c>
      <c r="J58" s="20">
        <f>VLOOKUP(B58,Contrôle!$C$3:$D$4,2,FALSE)</f>
        <v>200000</v>
      </c>
      <c r="K58" s="20">
        <f>VLOOKUP(C58,Contrôle!$C$5:$D$7,2,FALSE)</f>
        <v>20000</v>
      </c>
      <c r="L58" s="20">
        <f>VLOOKUP(D58,Contrôle!$C$8:$D$10,2,FALSE)</f>
        <v>1000</v>
      </c>
      <c r="M58" s="20">
        <f>VLOOKUP(E58,Contrôle!$C$11:$D$13,2,FALSE)</f>
        <v>200</v>
      </c>
      <c r="N58" s="20">
        <f>VLOOKUP(F58,Contrôle!$C$14:$D$15,2,FALSE)</f>
        <v>10</v>
      </c>
      <c r="O58" s="20">
        <f>VLOOKUP(G58,Contrôle!$C$16:$D$17,2,FALSE)</f>
        <v>1</v>
      </c>
    </row>
    <row r="59" spans="1:15" x14ac:dyDescent="0.2">
      <c r="A59" s="8">
        <f t="shared" si="3"/>
        <v>221212</v>
      </c>
      <c r="B59" s="7" t="s">
        <v>263</v>
      </c>
      <c r="C59" s="7" t="s">
        <v>280</v>
      </c>
      <c r="D59" s="7" t="s">
        <v>290</v>
      </c>
      <c r="E59" s="7" t="s">
        <v>300</v>
      </c>
      <c r="F59" s="7" t="s">
        <v>254</v>
      </c>
      <c r="G59" s="7" t="s">
        <v>268</v>
      </c>
      <c r="H59" s="9">
        <f>'Table 4 ASHRAE'!$N$15</f>
        <v>0.65</v>
      </c>
      <c r="I59" s="9">
        <f t="shared" si="5"/>
        <v>1.5384615384615383</v>
      </c>
      <c r="J59" s="20">
        <f>VLOOKUP(B59,Contrôle!$C$3:$D$4,2,FALSE)</f>
        <v>200000</v>
      </c>
      <c r="K59" s="20">
        <f>VLOOKUP(C59,Contrôle!$C$5:$D$7,2,FALSE)</f>
        <v>20000</v>
      </c>
      <c r="L59" s="20">
        <f>VLOOKUP(D59,Contrôle!$C$8:$D$10,2,FALSE)</f>
        <v>1000</v>
      </c>
      <c r="M59" s="20">
        <f>VLOOKUP(E59,Contrôle!$C$11:$D$13,2,FALSE)</f>
        <v>200</v>
      </c>
      <c r="N59" s="20">
        <f>VLOOKUP(F59,Contrôle!$C$14:$D$15,2,FALSE)</f>
        <v>10</v>
      </c>
      <c r="O59" s="20">
        <f>VLOOKUP(G59,Contrôle!$C$16:$D$17,2,FALSE)</f>
        <v>2</v>
      </c>
    </row>
    <row r="60" spans="1:15" x14ac:dyDescent="0.2">
      <c r="A60" s="8">
        <f t="shared" si="3"/>
        <v>221221</v>
      </c>
      <c r="B60" s="7" t="s">
        <v>263</v>
      </c>
      <c r="C60" s="7" t="s">
        <v>280</v>
      </c>
      <c r="D60" s="7" t="s">
        <v>290</v>
      </c>
      <c r="E60" s="7" t="s">
        <v>300</v>
      </c>
      <c r="F60" s="7" t="s">
        <v>268</v>
      </c>
      <c r="G60" s="7" t="s">
        <v>254</v>
      </c>
      <c r="H60" s="9">
        <f>'Table 4 ASHRAE'!N33</f>
        <v>0.56999999999999995</v>
      </c>
      <c r="I60" s="9">
        <f t="shared" si="5"/>
        <v>1.7543859649122808</v>
      </c>
      <c r="J60" s="20">
        <f>VLOOKUP(B60,Contrôle!$C$3:$D$4,2,FALSE)</f>
        <v>200000</v>
      </c>
      <c r="K60" s="20">
        <f>VLOOKUP(C60,Contrôle!$C$5:$D$7,2,FALSE)</f>
        <v>20000</v>
      </c>
      <c r="L60" s="20">
        <f>VLOOKUP(D60,Contrôle!$C$8:$D$10,2,FALSE)</f>
        <v>1000</v>
      </c>
      <c r="M60" s="20">
        <f>VLOOKUP(E60,Contrôle!$C$11:$D$13,2,FALSE)</f>
        <v>200</v>
      </c>
      <c r="N60" s="20">
        <f>VLOOKUP(F60,Contrôle!$C$14:$D$15,2,FALSE)</f>
        <v>20</v>
      </c>
      <c r="O60" s="20">
        <f>VLOOKUP(G60,Contrôle!$C$16:$D$17,2,FALSE)</f>
        <v>1</v>
      </c>
    </row>
    <row r="61" spans="1:15" x14ac:dyDescent="0.2">
      <c r="A61" s="8">
        <f t="shared" si="3"/>
        <v>221222</v>
      </c>
      <c r="B61" s="7" t="s">
        <v>263</v>
      </c>
      <c r="C61" s="7" t="s">
        <v>280</v>
      </c>
      <c r="D61" s="7" t="s">
        <v>290</v>
      </c>
      <c r="E61" s="7" t="s">
        <v>300</v>
      </c>
      <c r="F61" s="7" t="s">
        <v>268</v>
      </c>
      <c r="G61" s="7" t="s">
        <v>268</v>
      </c>
      <c r="H61" s="9">
        <f>'Table 4 ASHRAE'!$N$13</f>
        <v>0.68</v>
      </c>
      <c r="I61" s="9">
        <f t="shared" si="5"/>
        <v>1.4705882352941175</v>
      </c>
      <c r="J61" s="20">
        <f>VLOOKUP(B61,Contrôle!$C$3:$D$4,2,FALSE)</f>
        <v>200000</v>
      </c>
      <c r="K61" s="20">
        <f>VLOOKUP(C61,Contrôle!$C$5:$D$7,2,FALSE)</f>
        <v>20000</v>
      </c>
      <c r="L61" s="20">
        <f>VLOOKUP(D61,Contrôle!$C$8:$D$10,2,FALSE)</f>
        <v>1000</v>
      </c>
      <c r="M61" s="20">
        <f>VLOOKUP(E61,Contrôle!$C$11:$D$13,2,FALSE)</f>
        <v>200</v>
      </c>
      <c r="N61" s="20">
        <f>VLOOKUP(F61,Contrôle!$C$14:$D$15,2,FALSE)</f>
        <v>20</v>
      </c>
      <c r="O61" s="20">
        <f>VLOOKUP(G61,Contrôle!$C$16:$D$17,2,FALSE)</f>
        <v>2</v>
      </c>
    </row>
    <row r="62" spans="1:15" x14ac:dyDescent="0.2">
      <c r="A62" s="8">
        <f t="shared" si="3"/>
        <v>221311</v>
      </c>
      <c r="B62" s="7" t="s">
        <v>263</v>
      </c>
      <c r="C62" s="7" t="s">
        <v>280</v>
      </c>
      <c r="D62" s="7" t="s">
        <v>290</v>
      </c>
      <c r="E62" s="7" t="s">
        <v>301</v>
      </c>
      <c r="F62" s="7" t="s">
        <v>254</v>
      </c>
      <c r="G62" s="7" t="s">
        <v>254</v>
      </c>
      <c r="H62" s="9">
        <f>'Table 4 ASHRAE'!N36</f>
        <v>0.44</v>
      </c>
      <c r="I62" s="9">
        <f t="shared" si="5"/>
        <v>2.2727272727272729</v>
      </c>
      <c r="J62" s="20">
        <f>VLOOKUP(B62,Contrôle!$C$3:$D$4,2,FALSE)</f>
        <v>200000</v>
      </c>
      <c r="K62" s="20">
        <f>VLOOKUP(C62,Contrôle!$C$5:$D$7,2,FALSE)</f>
        <v>20000</v>
      </c>
      <c r="L62" s="20">
        <f>VLOOKUP(D62,Contrôle!$C$8:$D$10,2,FALSE)</f>
        <v>1000</v>
      </c>
      <c r="M62" s="20">
        <f>VLOOKUP(E62,Contrôle!$C$11:$D$13,2,FALSE)</f>
        <v>300</v>
      </c>
      <c r="N62" s="20">
        <f>VLOOKUP(F62,Contrôle!$C$14:$D$15,2,FALSE)</f>
        <v>10</v>
      </c>
      <c r="O62" s="20">
        <f>VLOOKUP(G62,Contrôle!$C$16:$D$17,2,FALSE)</f>
        <v>1</v>
      </c>
    </row>
    <row r="63" spans="1:15" x14ac:dyDescent="0.2">
      <c r="A63" s="8">
        <f t="shared" ref="A63:A93" si="6">SUM(J63:O63)</f>
        <v>221312</v>
      </c>
      <c r="B63" s="7" t="s">
        <v>263</v>
      </c>
      <c r="C63" s="7" t="s">
        <v>280</v>
      </c>
      <c r="D63" s="7" t="s">
        <v>290</v>
      </c>
      <c r="E63" s="7" t="s">
        <v>301</v>
      </c>
      <c r="F63" s="7" t="s">
        <v>254</v>
      </c>
      <c r="G63" s="7" t="s">
        <v>268</v>
      </c>
      <c r="H63" s="9">
        <f>'Table 4 ASHRAE'!$N$16</f>
        <v>0.6</v>
      </c>
      <c r="I63" s="9">
        <f t="shared" si="5"/>
        <v>1.6666666666666667</v>
      </c>
      <c r="J63" s="20">
        <f>VLOOKUP(B63,Contrôle!$C$3:$D$4,2,FALSE)</f>
        <v>200000</v>
      </c>
      <c r="K63" s="20">
        <f>VLOOKUP(C63,Contrôle!$C$5:$D$7,2,FALSE)</f>
        <v>20000</v>
      </c>
      <c r="L63" s="20">
        <f>VLOOKUP(D63,Contrôle!$C$8:$D$10,2,FALSE)</f>
        <v>1000</v>
      </c>
      <c r="M63" s="20">
        <f>VLOOKUP(E63,Contrôle!$C$11:$D$13,2,FALSE)</f>
        <v>300</v>
      </c>
      <c r="N63" s="20">
        <f>VLOOKUP(F63,Contrôle!$C$14:$D$15,2,FALSE)</f>
        <v>10</v>
      </c>
      <c r="O63" s="20">
        <f>VLOOKUP(G63,Contrôle!$C$16:$D$17,2,FALSE)</f>
        <v>2</v>
      </c>
    </row>
    <row r="64" spans="1:15" x14ac:dyDescent="0.2">
      <c r="A64" s="8">
        <f t="shared" si="6"/>
        <v>221321</v>
      </c>
      <c r="B64" s="7" t="s">
        <v>263</v>
      </c>
      <c r="C64" s="7" t="s">
        <v>280</v>
      </c>
      <c r="D64" s="7" t="s">
        <v>290</v>
      </c>
      <c r="E64" s="7" t="s">
        <v>301</v>
      </c>
      <c r="F64" s="7" t="s">
        <v>268</v>
      </c>
      <c r="G64" s="7" t="s">
        <v>254</v>
      </c>
      <c r="H64" s="9">
        <f>'Table 4 ASHRAE'!N34</f>
        <v>0.49</v>
      </c>
      <c r="I64" s="9">
        <f t="shared" si="5"/>
        <v>2.0408163265306123</v>
      </c>
      <c r="J64" s="20">
        <f>VLOOKUP(B64,Contrôle!$C$3:$D$4,2,FALSE)</f>
        <v>200000</v>
      </c>
      <c r="K64" s="20">
        <f>VLOOKUP(C64,Contrôle!$C$5:$D$7,2,FALSE)</f>
        <v>20000</v>
      </c>
      <c r="L64" s="20">
        <f>VLOOKUP(D64,Contrôle!$C$8:$D$10,2,FALSE)</f>
        <v>1000</v>
      </c>
      <c r="M64" s="20">
        <f>VLOOKUP(E64,Contrôle!$C$11:$D$13,2,FALSE)</f>
        <v>300</v>
      </c>
      <c r="N64" s="20">
        <f>VLOOKUP(F64,Contrôle!$C$14:$D$15,2,FALSE)</f>
        <v>20</v>
      </c>
      <c r="O64" s="20">
        <f>VLOOKUP(G64,Contrôle!$C$16:$D$17,2,FALSE)</f>
        <v>1</v>
      </c>
    </row>
    <row r="65" spans="1:15" x14ac:dyDescent="0.2">
      <c r="A65" s="8">
        <f t="shared" si="6"/>
        <v>221322</v>
      </c>
      <c r="B65" s="7" t="s">
        <v>263</v>
      </c>
      <c r="C65" s="7" t="s">
        <v>280</v>
      </c>
      <c r="D65" s="7" t="s">
        <v>290</v>
      </c>
      <c r="E65" s="7" t="s">
        <v>301</v>
      </c>
      <c r="F65" s="7" t="s">
        <v>268</v>
      </c>
      <c r="G65" s="7" t="s">
        <v>268</v>
      </c>
      <c r="H65" s="9">
        <f>'Table 4 ASHRAE'!$N$14</f>
        <v>0.62</v>
      </c>
      <c r="I65" s="9">
        <f t="shared" si="5"/>
        <v>1.6129032258064517</v>
      </c>
      <c r="J65" s="20">
        <f>VLOOKUP(B65,Contrôle!$C$3:$D$4,2,FALSE)</f>
        <v>200000</v>
      </c>
      <c r="K65" s="20">
        <f>VLOOKUP(C65,Contrôle!$C$5:$D$7,2,FALSE)</f>
        <v>20000</v>
      </c>
      <c r="L65" s="20">
        <f>VLOOKUP(D65,Contrôle!$C$8:$D$10,2,FALSE)</f>
        <v>1000</v>
      </c>
      <c r="M65" s="20">
        <f>VLOOKUP(E65,Contrôle!$C$11:$D$13,2,FALSE)</f>
        <v>300</v>
      </c>
      <c r="N65" s="20">
        <f>VLOOKUP(F65,Contrôle!$C$14:$D$15,2,FALSE)</f>
        <v>20</v>
      </c>
      <c r="O65" s="20">
        <f>VLOOKUP(G65,Contrôle!$C$16:$D$17,2,FALSE)</f>
        <v>2</v>
      </c>
    </row>
    <row r="66" spans="1:15" x14ac:dyDescent="0.2">
      <c r="A66" s="8">
        <f t="shared" si="6"/>
        <v>231211</v>
      </c>
      <c r="B66" s="7" t="s">
        <v>263</v>
      </c>
      <c r="C66" s="7" t="s">
        <v>285</v>
      </c>
      <c r="D66" s="7" t="s">
        <v>290</v>
      </c>
      <c r="E66" s="7" t="s">
        <v>300</v>
      </c>
      <c r="F66" s="7" t="s">
        <v>254</v>
      </c>
      <c r="G66" s="7" t="s">
        <v>254</v>
      </c>
      <c r="H66" s="9">
        <f>'Table 4 ASHRAE'!N60</f>
        <v>0.38</v>
      </c>
      <c r="I66" s="9">
        <f t="shared" ref="I66:I83" si="7">1/H66</f>
        <v>2.6315789473684212</v>
      </c>
      <c r="J66" s="20">
        <f>VLOOKUP(B66,Contrôle!$C$3:$D$4,2,FALSE)</f>
        <v>200000</v>
      </c>
      <c r="K66" s="20">
        <f>VLOOKUP(C66,Contrôle!$C$5:$D$7,2,FALSE)</f>
        <v>30000</v>
      </c>
      <c r="L66" s="20">
        <f>VLOOKUP(D66,Contrôle!$C$8:$D$10,2,FALSE)</f>
        <v>1000</v>
      </c>
      <c r="M66" s="20">
        <f>VLOOKUP(E66,Contrôle!$C$11:$D$13,2,FALSE)</f>
        <v>200</v>
      </c>
      <c r="N66" s="20">
        <f>VLOOKUP(F66,Contrôle!$C$14:$D$15,2,FALSE)</f>
        <v>10</v>
      </c>
      <c r="O66" s="20">
        <f>VLOOKUP(G66,Contrôle!$C$16:$D$17,2,FALSE)</f>
        <v>1</v>
      </c>
    </row>
    <row r="67" spans="1:15" x14ac:dyDescent="0.2">
      <c r="A67" s="8">
        <f t="shared" si="6"/>
        <v>231212</v>
      </c>
      <c r="B67" s="7" t="s">
        <v>263</v>
      </c>
      <c r="C67" s="7" t="s">
        <v>285</v>
      </c>
      <c r="D67" s="7" t="s">
        <v>290</v>
      </c>
      <c r="E67" s="7" t="s">
        <v>300</v>
      </c>
      <c r="F67" s="7" t="s">
        <v>254</v>
      </c>
      <c r="G67" s="7" t="s">
        <v>268</v>
      </c>
      <c r="H67" s="9">
        <f>'Table 4 ASHRAE'!N45</f>
        <v>0.5</v>
      </c>
      <c r="I67" s="9">
        <f t="shared" si="7"/>
        <v>2</v>
      </c>
      <c r="J67" s="20">
        <f>VLOOKUP(B67,Contrôle!$C$3:$D$4,2,FALSE)</f>
        <v>200000</v>
      </c>
      <c r="K67" s="20">
        <f>VLOOKUP(C67,Contrôle!$C$5:$D$7,2,FALSE)</f>
        <v>30000</v>
      </c>
      <c r="L67" s="20">
        <f>VLOOKUP(D67,Contrôle!$C$8:$D$10,2,FALSE)</f>
        <v>1000</v>
      </c>
      <c r="M67" s="20">
        <f>VLOOKUP(E67,Contrôle!$C$11:$D$13,2,FALSE)</f>
        <v>200</v>
      </c>
      <c r="N67" s="20">
        <f>VLOOKUP(F67,Contrôle!$C$14:$D$15,2,FALSE)</f>
        <v>10</v>
      </c>
      <c r="O67" s="20">
        <f>VLOOKUP(G67,Contrôle!$C$16:$D$17,2,FALSE)</f>
        <v>2</v>
      </c>
    </row>
    <row r="68" spans="1:15" x14ac:dyDescent="0.2">
      <c r="A68" s="8">
        <f t="shared" si="6"/>
        <v>231221</v>
      </c>
      <c r="B68" s="7" t="s">
        <v>263</v>
      </c>
      <c r="C68" s="7" t="s">
        <v>285</v>
      </c>
      <c r="D68" s="7" t="s">
        <v>290</v>
      </c>
      <c r="E68" s="7" t="s">
        <v>300</v>
      </c>
      <c r="F68" s="7" t="s">
        <v>268</v>
      </c>
      <c r="G68" s="7" t="s">
        <v>254</v>
      </c>
      <c r="H68" s="9">
        <f>'Table 4 ASHRAE'!N58</f>
        <v>0.44</v>
      </c>
      <c r="I68" s="9">
        <f t="shared" si="7"/>
        <v>2.2727272727272729</v>
      </c>
      <c r="J68" s="20">
        <f>VLOOKUP(B68,Contrôle!$C$3:$D$4,2,FALSE)</f>
        <v>200000</v>
      </c>
      <c r="K68" s="20">
        <f>VLOOKUP(C68,Contrôle!$C$5:$D$7,2,FALSE)</f>
        <v>30000</v>
      </c>
      <c r="L68" s="20">
        <f>VLOOKUP(D68,Contrôle!$C$8:$D$10,2,FALSE)</f>
        <v>1000</v>
      </c>
      <c r="M68" s="20">
        <f>VLOOKUP(E68,Contrôle!$C$11:$D$13,2,FALSE)</f>
        <v>200</v>
      </c>
      <c r="N68" s="20">
        <f>VLOOKUP(F68,Contrôle!$C$14:$D$15,2,FALSE)</f>
        <v>20</v>
      </c>
      <c r="O68" s="20">
        <f>VLOOKUP(G68,Contrôle!$C$16:$D$17,2,FALSE)</f>
        <v>1</v>
      </c>
    </row>
    <row r="69" spans="1:15" x14ac:dyDescent="0.2">
      <c r="A69" s="8">
        <f t="shared" si="6"/>
        <v>231222</v>
      </c>
      <c r="B69" s="7" t="s">
        <v>263</v>
      </c>
      <c r="C69" s="7" t="s">
        <v>285</v>
      </c>
      <c r="D69" s="7" t="s">
        <v>290</v>
      </c>
      <c r="E69" s="7" t="s">
        <v>300</v>
      </c>
      <c r="F69" s="7" t="s">
        <v>268</v>
      </c>
      <c r="G69" s="7" t="s">
        <v>268</v>
      </c>
      <c r="H69" s="9">
        <f>'Table 4 ASHRAE'!N43</f>
        <v>0.53</v>
      </c>
      <c r="I69" s="9">
        <f t="shared" si="7"/>
        <v>1.8867924528301885</v>
      </c>
      <c r="J69" s="20">
        <f>VLOOKUP(B69,Contrôle!$C$3:$D$4,2,FALSE)</f>
        <v>200000</v>
      </c>
      <c r="K69" s="20">
        <f>VLOOKUP(C69,Contrôle!$C$5:$D$7,2,FALSE)</f>
        <v>30000</v>
      </c>
      <c r="L69" s="20">
        <f>VLOOKUP(D69,Contrôle!$C$8:$D$10,2,FALSE)</f>
        <v>1000</v>
      </c>
      <c r="M69" s="20">
        <f>VLOOKUP(E69,Contrôle!$C$11:$D$13,2,FALSE)</f>
        <v>200</v>
      </c>
      <c r="N69" s="20">
        <f>VLOOKUP(F69,Contrôle!$C$14:$D$15,2,FALSE)</f>
        <v>20</v>
      </c>
      <c r="O69" s="20">
        <f>VLOOKUP(G69,Contrôle!$C$16:$D$17,2,FALSE)</f>
        <v>2</v>
      </c>
    </row>
    <row r="70" spans="1:15" x14ac:dyDescent="0.2">
      <c r="A70" s="8">
        <f t="shared" si="6"/>
        <v>231311</v>
      </c>
      <c r="B70" s="7" t="s">
        <v>263</v>
      </c>
      <c r="C70" s="7" t="s">
        <v>285</v>
      </c>
      <c r="D70" s="7" t="s">
        <v>290</v>
      </c>
      <c r="E70" s="7" t="s">
        <v>301</v>
      </c>
      <c r="F70" s="7" t="s">
        <v>254</v>
      </c>
      <c r="G70" s="7" t="s">
        <v>254</v>
      </c>
      <c r="H70" s="9">
        <f>'Table 4 ASHRAE'!N61</f>
        <v>0.32</v>
      </c>
      <c r="I70" s="9">
        <f t="shared" si="7"/>
        <v>3.125</v>
      </c>
      <c r="J70" s="20">
        <f>VLOOKUP(B70,Contrôle!$C$3:$D$4,2,FALSE)</f>
        <v>200000</v>
      </c>
      <c r="K70" s="20">
        <f>VLOOKUP(C70,Contrôle!$C$5:$D$7,2,FALSE)</f>
        <v>30000</v>
      </c>
      <c r="L70" s="20">
        <f>VLOOKUP(D70,Contrôle!$C$8:$D$10,2,FALSE)</f>
        <v>1000</v>
      </c>
      <c r="M70" s="20">
        <f>VLOOKUP(E70,Contrôle!$C$11:$D$13,2,FALSE)</f>
        <v>300</v>
      </c>
      <c r="N70" s="20">
        <f>VLOOKUP(F70,Contrôle!$C$14:$D$15,2,FALSE)</f>
        <v>10</v>
      </c>
      <c r="O70" s="20">
        <f>VLOOKUP(G70,Contrôle!$C$16:$D$17,2,FALSE)</f>
        <v>1</v>
      </c>
    </row>
    <row r="71" spans="1:15" x14ac:dyDescent="0.2">
      <c r="A71" s="8">
        <f t="shared" si="6"/>
        <v>231312</v>
      </c>
      <c r="B71" s="7" t="s">
        <v>263</v>
      </c>
      <c r="C71" s="7" t="s">
        <v>285</v>
      </c>
      <c r="D71" s="7" t="s">
        <v>290</v>
      </c>
      <c r="E71" s="7" t="s">
        <v>301</v>
      </c>
      <c r="F71" s="7" t="s">
        <v>254</v>
      </c>
      <c r="G71" s="7" t="s">
        <v>268</v>
      </c>
      <c r="H71" s="9">
        <f>'Table 4 ASHRAE'!N46</f>
        <v>0.45</v>
      </c>
      <c r="I71" s="9">
        <f t="shared" si="7"/>
        <v>2.2222222222222223</v>
      </c>
      <c r="J71" s="20">
        <f>VLOOKUP(B71,Contrôle!$C$3:$D$4,2,FALSE)</f>
        <v>200000</v>
      </c>
      <c r="K71" s="20">
        <f>VLOOKUP(C71,Contrôle!$C$5:$D$7,2,FALSE)</f>
        <v>30000</v>
      </c>
      <c r="L71" s="20">
        <f>VLOOKUP(D71,Contrôle!$C$8:$D$10,2,FALSE)</f>
        <v>1000</v>
      </c>
      <c r="M71" s="20">
        <f>VLOOKUP(E71,Contrôle!$C$11:$D$13,2,FALSE)</f>
        <v>300</v>
      </c>
      <c r="N71" s="20">
        <f>VLOOKUP(F71,Contrôle!$C$14:$D$15,2,FALSE)</f>
        <v>10</v>
      </c>
      <c r="O71" s="20">
        <f>VLOOKUP(G71,Contrôle!$C$16:$D$17,2,FALSE)</f>
        <v>2</v>
      </c>
    </row>
    <row r="72" spans="1:15" x14ac:dyDescent="0.2">
      <c r="A72" s="8">
        <f t="shared" si="6"/>
        <v>231321</v>
      </c>
      <c r="B72" s="7" t="s">
        <v>263</v>
      </c>
      <c r="C72" s="7" t="s">
        <v>285</v>
      </c>
      <c r="D72" s="7" t="s">
        <v>290</v>
      </c>
      <c r="E72" s="7" t="s">
        <v>301</v>
      </c>
      <c r="F72" s="7" t="s">
        <v>268</v>
      </c>
      <c r="G72" s="7" t="s">
        <v>254</v>
      </c>
      <c r="H72" s="9">
        <f>'Table 4 ASHRAE'!N59</f>
        <v>0.36</v>
      </c>
      <c r="I72" s="9">
        <f t="shared" si="7"/>
        <v>2.7777777777777777</v>
      </c>
      <c r="J72" s="20">
        <f>VLOOKUP(B72,Contrôle!$C$3:$D$4,2,FALSE)</f>
        <v>200000</v>
      </c>
      <c r="K72" s="20">
        <f>VLOOKUP(C72,Contrôle!$C$5:$D$7,2,FALSE)</f>
        <v>30000</v>
      </c>
      <c r="L72" s="20">
        <f>VLOOKUP(D72,Contrôle!$C$8:$D$10,2,FALSE)</f>
        <v>1000</v>
      </c>
      <c r="M72" s="20">
        <f>VLOOKUP(E72,Contrôle!$C$11:$D$13,2,FALSE)</f>
        <v>300</v>
      </c>
      <c r="N72" s="20">
        <f>VLOOKUP(F72,Contrôle!$C$14:$D$15,2,FALSE)</f>
        <v>20</v>
      </c>
      <c r="O72" s="20">
        <f>VLOOKUP(G72,Contrôle!$C$16:$D$17,2,FALSE)</f>
        <v>1</v>
      </c>
    </row>
    <row r="73" spans="1:15" x14ac:dyDescent="0.2">
      <c r="A73" s="8">
        <f t="shared" si="6"/>
        <v>231322</v>
      </c>
      <c r="B73" s="7" t="s">
        <v>263</v>
      </c>
      <c r="C73" s="7" t="s">
        <v>285</v>
      </c>
      <c r="D73" s="7" t="s">
        <v>290</v>
      </c>
      <c r="E73" s="7" t="s">
        <v>301</v>
      </c>
      <c r="F73" s="7" t="s">
        <v>268</v>
      </c>
      <c r="G73" s="7" t="s">
        <v>268</v>
      </c>
      <c r="H73" s="9">
        <f>'Table 4 ASHRAE'!N44</f>
        <v>0.47</v>
      </c>
      <c r="I73" s="9">
        <f t="shared" si="7"/>
        <v>2.1276595744680851</v>
      </c>
      <c r="J73" s="20">
        <f>VLOOKUP(B73,Contrôle!$C$3:$D$4,2,FALSE)</f>
        <v>200000</v>
      </c>
      <c r="K73" s="20">
        <f>VLOOKUP(C73,Contrôle!$C$5:$D$7,2,FALSE)</f>
        <v>30000</v>
      </c>
      <c r="L73" s="20">
        <f>VLOOKUP(D73,Contrôle!$C$8:$D$10,2,FALSE)</f>
        <v>1000</v>
      </c>
      <c r="M73" s="20">
        <f>VLOOKUP(E73,Contrôle!$C$11:$D$13,2,FALSE)</f>
        <v>300</v>
      </c>
      <c r="N73" s="20">
        <f>VLOOKUP(F73,Contrôle!$C$14:$D$15,2,FALSE)</f>
        <v>20</v>
      </c>
      <c r="O73" s="20">
        <f>VLOOKUP(G73,Contrôle!$C$16:$D$17,2,FALSE)</f>
        <v>2</v>
      </c>
    </row>
    <row r="74" spans="1:15" x14ac:dyDescent="0.2">
      <c r="A74" s="8">
        <f t="shared" si="6"/>
        <v>212121</v>
      </c>
      <c r="B74" s="7" t="s">
        <v>263</v>
      </c>
      <c r="C74" s="7" t="s">
        <v>274</v>
      </c>
      <c r="D74" s="7" t="s">
        <v>294</v>
      </c>
      <c r="E74" s="7" t="s">
        <v>298</v>
      </c>
      <c r="F74" s="7" t="s">
        <v>268</v>
      </c>
      <c r="G74" s="7" t="s">
        <v>254</v>
      </c>
      <c r="H74" s="9">
        <f>AVERAGE('Table 4 ASHRAE'!$O$9:$O$11)</f>
        <v>0.99333333333333351</v>
      </c>
      <c r="I74" s="9">
        <f t="shared" si="7"/>
        <v>1.006711409395973</v>
      </c>
      <c r="J74" s="20">
        <f>VLOOKUP(B74,Contrôle!$C$3:$D$4,2,FALSE)</f>
        <v>200000</v>
      </c>
      <c r="K74" s="20">
        <f>VLOOKUP(C74,Contrôle!$C$5:$D$7,2,FALSE)</f>
        <v>10000</v>
      </c>
      <c r="L74" s="20">
        <f>VLOOKUP(D74,Contrôle!$C$8:$D$10,2,FALSE)</f>
        <v>2000</v>
      </c>
      <c r="M74" s="20">
        <f>VLOOKUP(E74,Contrôle!$C$11:$D$13,2,FALSE)</f>
        <v>100</v>
      </c>
      <c r="N74" s="20">
        <f>VLOOKUP(F74,Contrôle!$C$14:$D$15,2,FALSE)</f>
        <v>20</v>
      </c>
      <c r="O74" s="20">
        <f>VLOOKUP(G74,Contrôle!$C$16:$D$17,2,FALSE)</f>
        <v>1</v>
      </c>
    </row>
    <row r="75" spans="1:15" x14ac:dyDescent="0.2">
      <c r="A75" s="8">
        <f t="shared" si="6"/>
        <v>212122</v>
      </c>
      <c r="B75" s="7" t="s">
        <v>263</v>
      </c>
      <c r="C75" s="7" t="s">
        <v>274</v>
      </c>
      <c r="D75" s="7" t="s">
        <v>294</v>
      </c>
      <c r="E75" s="7" t="s">
        <v>298</v>
      </c>
      <c r="F75" s="7" t="s">
        <v>268</v>
      </c>
      <c r="G75" s="7" t="s">
        <v>268</v>
      </c>
      <c r="H75" s="9">
        <f>AVERAGE('Table 4 ASHRAE'!$O$9:$O$11)</f>
        <v>0.99333333333333351</v>
      </c>
      <c r="I75" s="9">
        <f t="shared" si="7"/>
        <v>1.006711409395973</v>
      </c>
      <c r="J75" s="20">
        <f>VLOOKUP(B75,Contrôle!$C$3:$D$4,2,FALSE)</f>
        <v>200000</v>
      </c>
      <c r="K75" s="20">
        <f>VLOOKUP(C75,Contrôle!$C$5:$D$7,2,FALSE)</f>
        <v>10000</v>
      </c>
      <c r="L75" s="20">
        <f>VLOOKUP(D75,Contrôle!$C$8:$D$10,2,FALSE)</f>
        <v>2000</v>
      </c>
      <c r="M75" s="20">
        <f>VLOOKUP(E75,Contrôle!$C$11:$D$13,2,FALSE)</f>
        <v>100</v>
      </c>
      <c r="N75" s="20">
        <f>VLOOKUP(F75,Contrôle!$C$14:$D$15,2,FALSE)</f>
        <v>20</v>
      </c>
      <c r="O75" s="20">
        <f>VLOOKUP(G75,Contrôle!$C$16:$D$17,2,FALSE)</f>
        <v>2</v>
      </c>
    </row>
    <row r="76" spans="1:15" x14ac:dyDescent="0.2">
      <c r="A76" s="8">
        <f t="shared" si="6"/>
        <v>222211</v>
      </c>
      <c r="B76" s="7" t="s">
        <v>263</v>
      </c>
      <c r="C76" s="7" t="s">
        <v>280</v>
      </c>
      <c r="D76" s="7" t="s">
        <v>294</v>
      </c>
      <c r="E76" s="7" t="s">
        <v>300</v>
      </c>
      <c r="F76" s="7" t="s">
        <v>254</v>
      </c>
      <c r="G76" s="7" t="s">
        <v>254</v>
      </c>
      <c r="H76" s="9">
        <f>'Table 4 ASHRAE'!O35</f>
        <v>0.45</v>
      </c>
      <c r="I76" s="9">
        <f t="shared" si="7"/>
        <v>2.2222222222222223</v>
      </c>
      <c r="J76" s="20">
        <f>VLOOKUP(B76,Contrôle!$C$3:$D$4,2,FALSE)</f>
        <v>200000</v>
      </c>
      <c r="K76" s="20">
        <f>VLOOKUP(C76,Contrôle!$C$5:$D$7,2,FALSE)</f>
        <v>20000</v>
      </c>
      <c r="L76" s="20">
        <f>VLOOKUP(D76,Contrôle!$C$8:$D$10,2,FALSE)</f>
        <v>2000</v>
      </c>
      <c r="M76" s="20">
        <f>VLOOKUP(E76,Contrôle!$C$11:$D$13,2,FALSE)</f>
        <v>200</v>
      </c>
      <c r="N76" s="20">
        <f>VLOOKUP(F76,Contrôle!$C$14:$D$15,2,FALSE)</f>
        <v>10</v>
      </c>
      <c r="O76" s="20">
        <f>VLOOKUP(G76,Contrôle!$C$16:$D$17,2,FALSE)</f>
        <v>1</v>
      </c>
    </row>
    <row r="77" spans="1:15" x14ac:dyDescent="0.2">
      <c r="A77" s="8">
        <f t="shared" si="6"/>
        <v>222212</v>
      </c>
      <c r="B77" s="7" t="s">
        <v>263</v>
      </c>
      <c r="C77" s="7" t="s">
        <v>280</v>
      </c>
      <c r="D77" s="7" t="s">
        <v>294</v>
      </c>
      <c r="E77" s="7" t="s">
        <v>300</v>
      </c>
      <c r="F77" s="7" t="s">
        <v>254</v>
      </c>
      <c r="G77" s="7" t="s">
        <v>268</v>
      </c>
      <c r="H77" s="9">
        <f>'Table 4 ASHRAE'!$O$15</f>
        <v>0.59</v>
      </c>
      <c r="I77" s="9">
        <f t="shared" si="7"/>
        <v>1.6949152542372883</v>
      </c>
      <c r="J77" s="20">
        <f>VLOOKUP(B77,Contrôle!$C$3:$D$4,2,FALSE)</f>
        <v>200000</v>
      </c>
      <c r="K77" s="20">
        <f>VLOOKUP(C77,Contrôle!$C$5:$D$7,2,FALSE)</f>
        <v>20000</v>
      </c>
      <c r="L77" s="20">
        <f>VLOOKUP(D77,Contrôle!$C$8:$D$10,2,FALSE)</f>
        <v>2000</v>
      </c>
      <c r="M77" s="20">
        <f>VLOOKUP(E77,Contrôle!$C$11:$D$13,2,FALSE)</f>
        <v>200</v>
      </c>
      <c r="N77" s="20">
        <f>VLOOKUP(F77,Contrôle!$C$14:$D$15,2,FALSE)</f>
        <v>10</v>
      </c>
      <c r="O77" s="20">
        <f>VLOOKUP(G77,Contrôle!$C$16:$D$17,2,FALSE)</f>
        <v>2</v>
      </c>
    </row>
    <row r="78" spans="1:15" x14ac:dyDescent="0.2">
      <c r="A78" s="8">
        <f t="shared" si="6"/>
        <v>222221</v>
      </c>
      <c r="B78" s="7" t="s">
        <v>263</v>
      </c>
      <c r="C78" s="7" t="s">
        <v>280</v>
      </c>
      <c r="D78" s="7" t="s">
        <v>294</v>
      </c>
      <c r="E78" s="7" t="s">
        <v>300</v>
      </c>
      <c r="F78" s="7" t="s">
        <v>268</v>
      </c>
      <c r="G78" s="7" t="s">
        <v>254</v>
      </c>
      <c r="H78" s="9">
        <f>'Table 4 ASHRAE'!O33</f>
        <v>0.51</v>
      </c>
      <c r="I78" s="9">
        <f t="shared" si="7"/>
        <v>1.9607843137254901</v>
      </c>
      <c r="J78" s="20">
        <f>VLOOKUP(B78,Contrôle!$C$3:$D$4,2,FALSE)</f>
        <v>200000</v>
      </c>
      <c r="K78" s="20">
        <f>VLOOKUP(C78,Contrôle!$C$5:$D$7,2,FALSE)</f>
        <v>20000</v>
      </c>
      <c r="L78" s="20">
        <f>VLOOKUP(D78,Contrôle!$C$8:$D$10,2,FALSE)</f>
        <v>2000</v>
      </c>
      <c r="M78" s="20">
        <f>VLOOKUP(E78,Contrôle!$C$11:$D$13,2,FALSE)</f>
        <v>200</v>
      </c>
      <c r="N78" s="20">
        <f>VLOOKUP(F78,Contrôle!$C$14:$D$15,2,FALSE)</f>
        <v>20</v>
      </c>
      <c r="O78" s="20">
        <f>VLOOKUP(G78,Contrôle!$C$16:$D$17,2,FALSE)</f>
        <v>1</v>
      </c>
    </row>
    <row r="79" spans="1:15" x14ac:dyDescent="0.2">
      <c r="A79" s="8">
        <f t="shared" si="6"/>
        <v>222222</v>
      </c>
      <c r="B79" s="7" t="s">
        <v>263</v>
      </c>
      <c r="C79" s="7" t="s">
        <v>280</v>
      </c>
      <c r="D79" s="7" t="s">
        <v>294</v>
      </c>
      <c r="E79" s="7" t="s">
        <v>300</v>
      </c>
      <c r="F79" s="7" t="s">
        <v>268</v>
      </c>
      <c r="G79" s="7" t="s">
        <v>268</v>
      </c>
      <c r="H79" s="9">
        <f>'Table 4 ASHRAE'!$O$13</f>
        <v>0.62</v>
      </c>
      <c r="I79" s="9">
        <f t="shared" si="7"/>
        <v>1.6129032258064517</v>
      </c>
      <c r="J79" s="20">
        <f>VLOOKUP(B79,Contrôle!$C$3:$D$4,2,FALSE)</f>
        <v>200000</v>
      </c>
      <c r="K79" s="20">
        <f>VLOOKUP(C79,Contrôle!$C$5:$D$7,2,FALSE)</f>
        <v>20000</v>
      </c>
      <c r="L79" s="20">
        <f>VLOOKUP(D79,Contrôle!$C$8:$D$10,2,FALSE)</f>
        <v>2000</v>
      </c>
      <c r="M79" s="20">
        <f>VLOOKUP(E79,Contrôle!$C$11:$D$13,2,FALSE)</f>
        <v>200</v>
      </c>
      <c r="N79" s="20">
        <f>VLOOKUP(F79,Contrôle!$C$14:$D$15,2,FALSE)</f>
        <v>20</v>
      </c>
      <c r="O79" s="20">
        <f>VLOOKUP(G79,Contrôle!$C$16:$D$17,2,FALSE)</f>
        <v>2</v>
      </c>
    </row>
    <row r="80" spans="1:15" x14ac:dyDescent="0.2">
      <c r="A80" s="8">
        <f t="shared" si="6"/>
        <v>222311</v>
      </c>
      <c r="B80" s="7" t="s">
        <v>263</v>
      </c>
      <c r="C80" s="7" t="s">
        <v>280</v>
      </c>
      <c r="D80" s="7" t="s">
        <v>294</v>
      </c>
      <c r="E80" s="7" t="s">
        <v>301</v>
      </c>
      <c r="F80" s="7" t="s">
        <v>254</v>
      </c>
      <c r="G80" s="7" t="s">
        <v>254</v>
      </c>
      <c r="H80" s="9">
        <f>'Table 4 ASHRAE'!O36</f>
        <v>0.38</v>
      </c>
      <c r="I80" s="9">
        <f t="shared" si="7"/>
        <v>2.6315789473684212</v>
      </c>
      <c r="J80" s="20">
        <f>VLOOKUP(B80,Contrôle!$C$3:$D$4,2,FALSE)</f>
        <v>200000</v>
      </c>
      <c r="K80" s="20">
        <f>VLOOKUP(C80,Contrôle!$C$5:$D$7,2,FALSE)</f>
        <v>20000</v>
      </c>
      <c r="L80" s="20">
        <f>VLOOKUP(D80,Contrôle!$C$8:$D$10,2,FALSE)</f>
        <v>2000</v>
      </c>
      <c r="M80" s="20">
        <f>VLOOKUP(E80,Contrôle!$C$11:$D$13,2,FALSE)</f>
        <v>300</v>
      </c>
      <c r="N80" s="20">
        <f>VLOOKUP(F80,Contrôle!$C$14:$D$15,2,FALSE)</f>
        <v>10</v>
      </c>
      <c r="O80" s="20">
        <f>VLOOKUP(G80,Contrôle!$C$16:$D$17,2,FALSE)</f>
        <v>1</v>
      </c>
    </row>
    <row r="81" spans="1:15" x14ac:dyDescent="0.2">
      <c r="A81" s="8">
        <f t="shared" si="6"/>
        <v>222312</v>
      </c>
      <c r="B81" s="7" t="s">
        <v>263</v>
      </c>
      <c r="C81" s="7" t="s">
        <v>280</v>
      </c>
      <c r="D81" s="7" t="s">
        <v>294</v>
      </c>
      <c r="E81" s="7" t="s">
        <v>301</v>
      </c>
      <c r="F81" s="7" t="s">
        <v>254</v>
      </c>
      <c r="G81" s="7" t="s">
        <v>268</v>
      </c>
      <c r="H81" s="9">
        <f>'Table 4 ASHRAE'!$O$16</f>
        <v>0.53</v>
      </c>
      <c r="I81" s="9">
        <f t="shared" si="7"/>
        <v>1.8867924528301885</v>
      </c>
      <c r="J81" s="20">
        <f>VLOOKUP(B81,Contrôle!$C$3:$D$4,2,FALSE)</f>
        <v>200000</v>
      </c>
      <c r="K81" s="20">
        <f>VLOOKUP(C81,Contrôle!$C$5:$D$7,2,FALSE)</f>
        <v>20000</v>
      </c>
      <c r="L81" s="20">
        <f>VLOOKUP(D81,Contrôle!$C$8:$D$10,2,FALSE)</f>
        <v>2000</v>
      </c>
      <c r="M81" s="20">
        <f>VLOOKUP(E81,Contrôle!$C$11:$D$13,2,FALSE)</f>
        <v>300</v>
      </c>
      <c r="N81" s="20">
        <f>VLOOKUP(F81,Contrôle!$C$14:$D$15,2,FALSE)</f>
        <v>10</v>
      </c>
      <c r="O81" s="20">
        <f>VLOOKUP(G81,Contrôle!$C$16:$D$17,2,FALSE)</f>
        <v>2</v>
      </c>
    </row>
    <row r="82" spans="1:15" x14ac:dyDescent="0.2">
      <c r="A82" s="8">
        <f t="shared" si="6"/>
        <v>222321</v>
      </c>
      <c r="B82" s="7" t="s">
        <v>263</v>
      </c>
      <c r="C82" s="7" t="s">
        <v>280</v>
      </c>
      <c r="D82" s="7" t="s">
        <v>294</v>
      </c>
      <c r="E82" s="7" t="s">
        <v>301</v>
      </c>
      <c r="F82" s="7" t="s">
        <v>268</v>
      </c>
      <c r="G82" s="7" t="s">
        <v>254</v>
      </c>
      <c r="H82" s="9">
        <f>'Table 4 ASHRAE'!O34</f>
        <v>0.42</v>
      </c>
      <c r="I82" s="9">
        <f t="shared" si="7"/>
        <v>2.3809523809523809</v>
      </c>
      <c r="J82" s="20">
        <f>VLOOKUP(B82,Contrôle!$C$3:$D$4,2,FALSE)</f>
        <v>200000</v>
      </c>
      <c r="K82" s="20">
        <f>VLOOKUP(C82,Contrôle!$C$5:$D$7,2,FALSE)</f>
        <v>20000</v>
      </c>
      <c r="L82" s="20">
        <f>VLOOKUP(D82,Contrôle!$C$8:$D$10,2,FALSE)</f>
        <v>2000</v>
      </c>
      <c r="M82" s="20">
        <f>VLOOKUP(E82,Contrôle!$C$11:$D$13,2,FALSE)</f>
        <v>300</v>
      </c>
      <c r="N82" s="20">
        <f>VLOOKUP(F82,Contrôle!$C$14:$D$15,2,FALSE)</f>
        <v>20</v>
      </c>
      <c r="O82" s="20">
        <f>VLOOKUP(G82,Contrôle!$C$16:$D$17,2,FALSE)</f>
        <v>1</v>
      </c>
    </row>
    <row r="83" spans="1:15" x14ac:dyDescent="0.2">
      <c r="A83" s="8">
        <f t="shared" si="6"/>
        <v>222322</v>
      </c>
      <c r="B83" s="7" t="s">
        <v>263</v>
      </c>
      <c r="C83" s="7" t="s">
        <v>280</v>
      </c>
      <c r="D83" s="7" t="s">
        <v>294</v>
      </c>
      <c r="E83" s="7" t="s">
        <v>301</v>
      </c>
      <c r="F83" s="7" t="s">
        <v>268</v>
      </c>
      <c r="G83" s="7" t="s">
        <v>268</v>
      </c>
      <c r="H83" s="9">
        <f>'Table 4 ASHRAE'!$O$14</f>
        <v>0.56000000000000005</v>
      </c>
      <c r="I83" s="9">
        <f t="shared" si="7"/>
        <v>1.7857142857142856</v>
      </c>
      <c r="J83" s="20">
        <f>VLOOKUP(B83,Contrôle!$C$3:$D$4,2,FALSE)</f>
        <v>200000</v>
      </c>
      <c r="K83" s="20">
        <f>VLOOKUP(C83,Contrôle!$C$5:$D$7,2,FALSE)</f>
        <v>20000</v>
      </c>
      <c r="L83" s="20">
        <f>VLOOKUP(D83,Contrôle!$C$8:$D$10,2,FALSE)</f>
        <v>2000</v>
      </c>
      <c r="M83" s="20">
        <f>VLOOKUP(E83,Contrôle!$C$11:$D$13,2,FALSE)</f>
        <v>300</v>
      </c>
      <c r="N83" s="20">
        <f>VLOOKUP(F83,Contrôle!$C$14:$D$15,2,FALSE)</f>
        <v>20</v>
      </c>
      <c r="O83" s="20">
        <f>VLOOKUP(G83,Contrôle!$C$16:$D$17,2,FALSE)</f>
        <v>2</v>
      </c>
    </row>
    <row r="84" spans="1:15" x14ac:dyDescent="0.2">
      <c r="A84" s="8">
        <f t="shared" si="6"/>
        <v>232211</v>
      </c>
      <c r="B84" s="7" t="s">
        <v>263</v>
      </c>
      <c r="C84" s="7" t="s">
        <v>285</v>
      </c>
      <c r="D84" s="7" t="s">
        <v>294</v>
      </c>
      <c r="E84" s="7" t="s">
        <v>300</v>
      </c>
      <c r="F84" s="7" t="s">
        <v>254</v>
      </c>
      <c r="G84" s="7" t="s">
        <v>254</v>
      </c>
      <c r="H84" s="9">
        <f>'Table 4 ASHRAE'!O60</f>
        <v>0.33</v>
      </c>
      <c r="I84" s="9">
        <f t="shared" ref="I84:I97" si="8">1/H84</f>
        <v>3.0303030303030303</v>
      </c>
      <c r="J84" s="20">
        <f>VLOOKUP(B84,Contrôle!$C$3:$D$4,2,FALSE)</f>
        <v>200000</v>
      </c>
      <c r="K84" s="20">
        <f>VLOOKUP(C84,Contrôle!$C$5:$D$7,2,FALSE)</f>
        <v>30000</v>
      </c>
      <c r="L84" s="20">
        <f>VLOOKUP(D84,Contrôle!$C$8:$D$10,2,FALSE)</f>
        <v>2000</v>
      </c>
      <c r="M84" s="20">
        <f>VLOOKUP(E84,Contrôle!$C$11:$D$13,2,FALSE)</f>
        <v>200</v>
      </c>
      <c r="N84" s="20">
        <f>VLOOKUP(F84,Contrôle!$C$14:$D$15,2,FALSE)</f>
        <v>10</v>
      </c>
      <c r="O84" s="20">
        <f>VLOOKUP(G84,Contrôle!$C$16:$D$17,2,FALSE)</f>
        <v>1</v>
      </c>
    </row>
    <row r="85" spans="1:15" x14ac:dyDescent="0.2">
      <c r="A85" s="8">
        <f t="shared" si="6"/>
        <v>232212</v>
      </c>
      <c r="B85" s="7" t="s">
        <v>263</v>
      </c>
      <c r="C85" s="7" t="s">
        <v>285</v>
      </c>
      <c r="D85" s="7" t="s">
        <v>294</v>
      </c>
      <c r="E85" s="7" t="s">
        <v>300</v>
      </c>
      <c r="F85" s="7" t="s">
        <v>254</v>
      </c>
      <c r="G85" s="7" t="s">
        <v>268</v>
      </c>
      <c r="H85" s="9">
        <f>'Table 4 ASHRAE'!O45</f>
        <v>0.44</v>
      </c>
      <c r="I85" s="9">
        <f t="shared" si="8"/>
        <v>2.2727272727272729</v>
      </c>
      <c r="J85" s="20">
        <f>VLOOKUP(B85,Contrôle!$C$3:$D$4,2,FALSE)</f>
        <v>200000</v>
      </c>
      <c r="K85" s="20">
        <f>VLOOKUP(C85,Contrôle!$C$5:$D$7,2,FALSE)</f>
        <v>30000</v>
      </c>
      <c r="L85" s="20">
        <f>VLOOKUP(D85,Contrôle!$C$8:$D$10,2,FALSE)</f>
        <v>2000</v>
      </c>
      <c r="M85" s="20">
        <f>VLOOKUP(E85,Contrôle!$C$11:$D$13,2,FALSE)</f>
        <v>200</v>
      </c>
      <c r="N85" s="20">
        <f>VLOOKUP(F85,Contrôle!$C$14:$D$15,2,FALSE)</f>
        <v>10</v>
      </c>
      <c r="O85" s="20">
        <f>VLOOKUP(G85,Contrôle!$C$16:$D$17,2,FALSE)</f>
        <v>2</v>
      </c>
    </row>
    <row r="86" spans="1:15" x14ac:dyDescent="0.2">
      <c r="A86" s="8">
        <f t="shared" si="6"/>
        <v>232221</v>
      </c>
      <c r="B86" s="7" t="s">
        <v>263</v>
      </c>
      <c r="C86" s="7" t="s">
        <v>285</v>
      </c>
      <c r="D86" s="7" t="s">
        <v>294</v>
      </c>
      <c r="E86" s="7" t="s">
        <v>300</v>
      </c>
      <c r="F86" s="7" t="s">
        <v>268</v>
      </c>
      <c r="G86" s="7" t="s">
        <v>254</v>
      </c>
      <c r="H86" s="9">
        <f>'Table 4 ASHRAE'!O58</f>
        <v>0.38</v>
      </c>
      <c r="I86" s="9">
        <f t="shared" si="8"/>
        <v>2.6315789473684212</v>
      </c>
      <c r="J86" s="20">
        <f>VLOOKUP(B86,Contrôle!$C$3:$D$4,2,FALSE)</f>
        <v>200000</v>
      </c>
      <c r="K86" s="20">
        <f>VLOOKUP(C86,Contrôle!$C$5:$D$7,2,FALSE)</f>
        <v>30000</v>
      </c>
      <c r="L86" s="20">
        <f>VLOOKUP(D86,Contrôle!$C$8:$D$10,2,FALSE)</f>
        <v>2000</v>
      </c>
      <c r="M86" s="20">
        <f>VLOOKUP(E86,Contrôle!$C$11:$D$13,2,FALSE)</f>
        <v>200</v>
      </c>
      <c r="N86" s="20">
        <f>VLOOKUP(F86,Contrôle!$C$14:$D$15,2,FALSE)</f>
        <v>20</v>
      </c>
      <c r="O86" s="20">
        <f>VLOOKUP(G86,Contrôle!$C$16:$D$17,2,FALSE)</f>
        <v>1</v>
      </c>
    </row>
    <row r="87" spans="1:15" x14ac:dyDescent="0.2">
      <c r="A87" s="8">
        <f t="shared" si="6"/>
        <v>232222</v>
      </c>
      <c r="B87" s="7" t="s">
        <v>263</v>
      </c>
      <c r="C87" s="7" t="s">
        <v>285</v>
      </c>
      <c r="D87" s="7" t="s">
        <v>294</v>
      </c>
      <c r="E87" s="7" t="s">
        <v>300</v>
      </c>
      <c r="F87" s="7" t="s">
        <v>268</v>
      </c>
      <c r="G87" s="7" t="s">
        <v>268</v>
      </c>
      <c r="H87" s="9">
        <f>'Table 4 ASHRAE'!O43</f>
        <v>0.47</v>
      </c>
      <c r="I87" s="9">
        <f t="shared" si="8"/>
        <v>2.1276595744680851</v>
      </c>
      <c r="J87" s="20">
        <f>VLOOKUP(B87,Contrôle!$C$3:$D$4,2,FALSE)</f>
        <v>200000</v>
      </c>
      <c r="K87" s="20">
        <f>VLOOKUP(C87,Contrôle!$C$5:$D$7,2,FALSE)</f>
        <v>30000</v>
      </c>
      <c r="L87" s="20">
        <f>VLOOKUP(D87,Contrôle!$C$8:$D$10,2,FALSE)</f>
        <v>2000</v>
      </c>
      <c r="M87" s="20">
        <f>VLOOKUP(E87,Contrôle!$C$11:$D$13,2,FALSE)</f>
        <v>200</v>
      </c>
      <c r="N87" s="20">
        <f>VLOOKUP(F87,Contrôle!$C$14:$D$15,2,FALSE)</f>
        <v>20</v>
      </c>
      <c r="O87" s="20">
        <f>VLOOKUP(G87,Contrôle!$C$16:$D$17,2,FALSE)</f>
        <v>2</v>
      </c>
    </row>
    <row r="88" spans="1:15" x14ac:dyDescent="0.2">
      <c r="A88" s="8">
        <f t="shared" si="6"/>
        <v>232311</v>
      </c>
      <c r="B88" s="7" t="s">
        <v>263</v>
      </c>
      <c r="C88" s="7" t="s">
        <v>285</v>
      </c>
      <c r="D88" s="7" t="s">
        <v>294</v>
      </c>
      <c r="E88" s="7" t="s">
        <v>301</v>
      </c>
      <c r="F88" s="7" t="s">
        <v>254</v>
      </c>
      <c r="G88" s="7" t="s">
        <v>254</v>
      </c>
      <c r="H88" s="9">
        <f>'Table 4 ASHRAE'!O61</f>
        <v>0.27</v>
      </c>
      <c r="I88" s="9">
        <f t="shared" si="8"/>
        <v>3.7037037037037033</v>
      </c>
      <c r="J88" s="20">
        <f>VLOOKUP(B88,Contrôle!$C$3:$D$4,2,FALSE)</f>
        <v>200000</v>
      </c>
      <c r="K88" s="20">
        <f>VLOOKUP(C88,Contrôle!$C$5:$D$7,2,FALSE)</f>
        <v>30000</v>
      </c>
      <c r="L88" s="20">
        <f>VLOOKUP(D88,Contrôle!$C$8:$D$10,2,FALSE)</f>
        <v>2000</v>
      </c>
      <c r="M88" s="20">
        <f>VLOOKUP(E88,Contrôle!$C$11:$D$13,2,FALSE)</f>
        <v>300</v>
      </c>
      <c r="N88" s="20">
        <f>VLOOKUP(F88,Contrôle!$C$14:$D$15,2,FALSE)</f>
        <v>10</v>
      </c>
      <c r="O88" s="20">
        <f>VLOOKUP(G88,Contrôle!$C$16:$D$17,2,FALSE)</f>
        <v>1</v>
      </c>
    </row>
    <row r="89" spans="1:15" x14ac:dyDescent="0.2">
      <c r="A89" s="8">
        <f t="shared" si="6"/>
        <v>232312</v>
      </c>
      <c r="B89" s="7" t="s">
        <v>263</v>
      </c>
      <c r="C89" s="7" t="s">
        <v>285</v>
      </c>
      <c r="D89" s="7" t="s">
        <v>294</v>
      </c>
      <c r="E89" s="7" t="s">
        <v>301</v>
      </c>
      <c r="F89" s="7" t="s">
        <v>254</v>
      </c>
      <c r="G89" s="7" t="s">
        <v>268</v>
      </c>
      <c r="H89" s="9">
        <f>'Table 4 ASHRAE'!O46</f>
        <v>0.4</v>
      </c>
      <c r="I89" s="9">
        <f t="shared" si="8"/>
        <v>2.5</v>
      </c>
      <c r="J89" s="20">
        <f>VLOOKUP(B89,Contrôle!$C$3:$D$4,2,FALSE)</f>
        <v>200000</v>
      </c>
      <c r="K89" s="20">
        <f>VLOOKUP(C89,Contrôle!$C$5:$D$7,2,FALSE)</f>
        <v>30000</v>
      </c>
      <c r="L89" s="20">
        <f>VLOOKUP(D89,Contrôle!$C$8:$D$10,2,FALSE)</f>
        <v>2000</v>
      </c>
      <c r="M89" s="20">
        <f>VLOOKUP(E89,Contrôle!$C$11:$D$13,2,FALSE)</f>
        <v>300</v>
      </c>
      <c r="N89" s="20">
        <f>VLOOKUP(F89,Contrôle!$C$14:$D$15,2,FALSE)</f>
        <v>10</v>
      </c>
      <c r="O89" s="20">
        <f>VLOOKUP(G89,Contrôle!$C$16:$D$17,2,FALSE)</f>
        <v>2</v>
      </c>
    </row>
    <row r="90" spans="1:15" x14ac:dyDescent="0.2">
      <c r="A90" s="8">
        <f t="shared" si="6"/>
        <v>232321</v>
      </c>
      <c r="B90" s="7" t="s">
        <v>263</v>
      </c>
      <c r="C90" s="7" t="s">
        <v>285</v>
      </c>
      <c r="D90" s="7" t="s">
        <v>294</v>
      </c>
      <c r="E90" s="7" t="s">
        <v>301</v>
      </c>
      <c r="F90" s="7" t="s">
        <v>268</v>
      </c>
      <c r="G90" s="7" t="s">
        <v>254</v>
      </c>
      <c r="H90" s="9">
        <f>'Table 4 ASHRAE'!O59</f>
        <v>0.3</v>
      </c>
      <c r="I90" s="9">
        <f t="shared" si="8"/>
        <v>3.3333333333333335</v>
      </c>
      <c r="J90" s="20">
        <f>VLOOKUP(B90,Contrôle!$C$3:$D$4,2,FALSE)</f>
        <v>200000</v>
      </c>
      <c r="K90" s="20">
        <f>VLOOKUP(C90,Contrôle!$C$5:$D$7,2,FALSE)</f>
        <v>30000</v>
      </c>
      <c r="L90" s="20">
        <f>VLOOKUP(D90,Contrôle!$C$8:$D$10,2,FALSE)</f>
        <v>2000</v>
      </c>
      <c r="M90" s="20">
        <f>VLOOKUP(E90,Contrôle!$C$11:$D$13,2,FALSE)</f>
        <v>300</v>
      </c>
      <c r="N90" s="20">
        <f>VLOOKUP(F90,Contrôle!$C$14:$D$15,2,FALSE)</f>
        <v>20</v>
      </c>
      <c r="O90" s="20">
        <f>VLOOKUP(G90,Contrôle!$C$16:$D$17,2,FALSE)</f>
        <v>1</v>
      </c>
    </row>
    <row r="91" spans="1:15" x14ac:dyDescent="0.2">
      <c r="A91" s="8">
        <f t="shared" si="6"/>
        <v>232322</v>
      </c>
      <c r="B91" s="7" t="s">
        <v>263</v>
      </c>
      <c r="C91" s="7" t="s">
        <v>285</v>
      </c>
      <c r="D91" s="7" t="s">
        <v>294</v>
      </c>
      <c r="E91" s="7" t="s">
        <v>301</v>
      </c>
      <c r="F91" s="7" t="s">
        <v>268</v>
      </c>
      <c r="G91" s="7" t="s">
        <v>268</v>
      </c>
      <c r="H91" s="9">
        <f>'Table 4 ASHRAE'!O44</f>
        <v>0.41</v>
      </c>
      <c r="I91" s="9">
        <f t="shared" si="8"/>
        <v>2.4390243902439024</v>
      </c>
      <c r="J91" s="20">
        <f>VLOOKUP(B91,Contrôle!$C$3:$D$4,2,FALSE)</f>
        <v>200000</v>
      </c>
      <c r="K91" s="20">
        <f>VLOOKUP(C91,Contrôle!$C$5:$D$7,2,FALSE)</f>
        <v>30000</v>
      </c>
      <c r="L91" s="20">
        <f>VLOOKUP(D91,Contrôle!$C$8:$D$10,2,FALSE)</f>
        <v>2000</v>
      </c>
      <c r="M91" s="20">
        <f>VLOOKUP(E91,Contrôle!$C$11:$D$13,2,FALSE)</f>
        <v>300</v>
      </c>
      <c r="N91" s="20">
        <f>VLOOKUP(F91,Contrôle!$C$14:$D$15,2,FALSE)</f>
        <v>20</v>
      </c>
      <c r="O91" s="20">
        <f>VLOOKUP(G91,Contrôle!$C$16:$D$17,2,FALSE)</f>
        <v>2</v>
      </c>
    </row>
    <row r="92" spans="1:15" x14ac:dyDescent="0.2">
      <c r="A92" s="8">
        <f t="shared" si="6"/>
        <v>213121</v>
      </c>
      <c r="B92" s="7" t="s">
        <v>263</v>
      </c>
      <c r="C92" s="7" t="s">
        <v>274</v>
      </c>
      <c r="D92" s="7" t="s">
        <v>296</v>
      </c>
      <c r="E92" s="7" t="s">
        <v>298</v>
      </c>
      <c r="F92" s="7" t="s">
        <v>268</v>
      </c>
      <c r="G92" s="7" t="s">
        <v>254</v>
      </c>
      <c r="H92" s="9">
        <f>AVERAGE('Table 4 ASHRAE'!$Q$9:$Q$11)</f>
        <v>0.91</v>
      </c>
      <c r="I92" s="9">
        <f t="shared" si="8"/>
        <v>1.0989010989010988</v>
      </c>
      <c r="J92" s="20">
        <f>VLOOKUP(B92,Contrôle!$C$3:$D$4,2,FALSE)</f>
        <v>200000</v>
      </c>
      <c r="K92" s="20">
        <f>VLOOKUP(C92,Contrôle!$C$5:$D$7,2,FALSE)</f>
        <v>10000</v>
      </c>
      <c r="L92" s="20">
        <f>VLOOKUP(D92,Contrôle!$C$8:$D$10,2,FALSE)</f>
        <v>3000</v>
      </c>
      <c r="M92" s="20">
        <f>VLOOKUP(E92,Contrôle!$C$11:$D$13,2,FALSE)</f>
        <v>100</v>
      </c>
      <c r="N92" s="20">
        <f>VLOOKUP(F92,Contrôle!$C$14:$D$15,2,FALSE)</f>
        <v>20</v>
      </c>
      <c r="O92" s="20">
        <f>VLOOKUP(G92,Contrôle!$C$16:$D$17,2,FALSE)</f>
        <v>1</v>
      </c>
    </row>
    <row r="93" spans="1:15" x14ac:dyDescent="0.2">
      <c r="A93" s="8">
        <f t="shared" si="6"/>
        <v>213122</v>
      </c>
      <c r="B93" s="7" t="s">
        <v>263</v>
      </c>
      <c r="C93" s="7" t="s">
        <v>274</v>
      </c>
      <c r="D93" s="7" t="s">
        <v>296</v>
      </c>
      <c r="E93" s="7" t="s">
        <v>298</v>
      </c>
      <c r="F93" s="7" t="s">
        <v>268</v>
      </c>
      <c r="G93" s="7" t="s">
        <v>268</v>
      </c>
      <c r="H93" s="9">
        <f>AVERAGE('Table 4 ASHRAE'!$Q$9:$Q$11)</f>
        <v>0.91</v>
      </c>
      <c r="I93" s="9">
        <f t="shared" si="8"/>
        <v>1.0989010989010988</v>
      </c>
      <c r="J93" s="20">
        <f>VLOOKUP(B93,Contrôle!$C$3:$D$4,2,FALSE)</f>
        <v>200000</v>
      </c>
      <c r="K93" s="20">
        <f>VLOOKUP(C93,Contrôle!$C$5:$D$7,2,FALSE)</f>
        <v>10000</v>
      </c>
      <c r="L93" s="20">
        <f>VLOOKUP(D93,Contrôle!$C$8:$D$10,2,FALSE)</f>
        <v>3000</v>
      </c>
      <c r="M93" s="20">
        <f>VLOOKUP(E93,Contrôle!$C$11:$D$13,2,FALSE)</f>
        <v>100</v>
      </c>
      <c r="N93" s="20">
        <f>VLOOKUP(F93,Contrôle!$C$14:$D$15,2,FALSE)</f>
        <v>20</v>
      </c>
      <c r="O93" s="20">
        <f>VLOOKUP(G93,Contrôle!$C$16:$D$17,2,FALSE)</f>
        <v>2</v>
      </c>
    </row>
    <row r="94" spans="1:15" x14ac:dyDescent="0.2">
      <c r="A94" s="8">
        <f t="shared" ref="A94:A109" si="9">SUM(J94:O94)</f>
        <v>223211</v>
      </c>
      <c r="B94" s="7" t="s">
        <v>263</v>
      </c>
      <c r="C94" s="7" t="s">
        <v>280</v>
      </c>
      <c r="D94" s="7" t="s">
        <v>296</v>
      </c>
      <c r="E94" s="7" t="s">
        <v>300</v>
      </c>
      <c r="F94" s="7" t="s">
        <v>254</v>
      </c>
      <c r="G94" s="7" t="s">
        <v>254</v>
      </c>
      <c r="H94" s="9">
        <f>'Table 4 ASHRAE'!Q35</f>
        <v>0.39</v>
      </c>
      <c r="I94" s="9">
        <f t="shared" si="8"/>
        <v>2.5641025641025639</v>
      </c>
      <c r="J94" s="20">
        <f>VLOOKUP(B94,Contrôle!$C$3:$D$4,2,FALSE)</f>
        <v>200000</v>
      </c>
      <c r="K94" s="20">
        <f>VLOOKUP(C94,Contrôle!$C$5:$D$7,2,FALSE)</f>
        <v>20000</v>
      </c>
      <c r="L94" s="20">
        <f>VLOOKUP(D94,Contrôle!$C$8:$D$10,2,FALSE)</f>
        <v>3000</v>
      </c>
      <c r="M94" s="20">
        <f>VLOOKUP(E94,Contrôle!$C$11:$D$13,2,FALSE)</f>
        <v>200</v>
      </c>
      <c r="N94" s="20">
        <f>VLOOKUP(F94,Contrôle!$C$14:$D$15,2,FALSE)</f>
        <v>10</v>
      </c>
      <c r="O94" s="20">
        <f>VLOOKUP(G94,Contrôle!$C$16:$D$17,2,FALSE)</f>
        <v>1</v>
      </c>
    </row>
    <row r="95" spans="1:15" x14ac:dyDescent="0.2">
      <c r="A95" s="8">
        <f t="shared" si="9"/>
        <v>223212</v>
      </c>
      <c r="B95" s="7" t="s">
        <v>263</v>
      </c>
      <c r="C95" s="7" t="s">
        <v>280</v>
      </c>
      <c r="D95" s="7" t="s">
        <v>296</v>
      </c>
      <c r="E95" s="7" t="s">
        <v>300</v>
      </c>
      <c r="F95" s="7" t="s">
        <v>254</v>
      </c>
      <c r="G95" s="7" t="s">
        <v>268</v>
      </c>
      <c r="H95" s="9">
        <f>'Table 4 ASHRAE'!$Q$15</f>
        <v>0.52</v>
      </c>
      <c r="I95" s="9">
        <f t="shared" si="8"/>
        <v>1.9230769230769229</v>
      </c>
      <c r="J95" s="20">
        <f>VLOOKUP(B95,Contrôle!$C$3:$D$4,2,FALSE)</f>
        <v>200000</v>
      </c>
      <c r="K95" s="20">
        <f>VLOOKUP(C95,Contrôle!$C$5:$D$7,2,FALSE)</f>
        <v>20000</v>
      </c>
      <c r="L95" s="20">
        <f>VLOOKUP(D95,Contrôle!$C$8:$D$10,2,FALSE)</f>
        <v>3000</v>
      </c>
      <c r="M95" s="20">
        <f>VLOOKUP(E95,Contrôle!$C$11:$D$13,2,FALSE)</f>
        <v>200</v>
      </c>
      <c r="N95" s="20">
        <f>VLOOKUP(F95,Contrôle!$C$14:$D$15,2,FALSE)</f>
        <v>10</v>
      </c>
      <c r="O95" s="20">
        <f>VLOOKUP(G95,Contrôle!$C$16:$D$17,2,FALSE)</f>
        <v>2</v>
      </c>
    </row>
    <row r="96" spans="1:15" x14ac:dyDescent="0.2">
      <c r="A96" s="8">
        <f t="shared" si="9"/>
        <v>223221</v>
      </c>
      <c r="B96" s="7" t="s">
        <v>263</v>
      </c>
      <c r="C96" s="7" t="s">
        <v>280</v>
      </c>
      <c r="D96" s="7" t="s">
        <v>296</v>
      </c>
      <c r="E96" s="7" t="s">
        <v>300</v>
      </c>
      <c r="F96" s="7" t="s">
        <v>268</v>
      </c>
      <c r="G96" s="7" t="s">
        <v>254</v>
      </c>
      <c r="H96" s="9">
        <f>'Table 4 ASHRAE'!Q33</f>
        <v>0.45</v>
      </c>
      <c r="I96" s="9">
        <f t="shared" si="8"/>
        <v>2.2222222222222223</v>
      </c>
      <c r="J96" s="20">
        <f>VLOOKUP(B96,Contrôle!$C$3:$D$4,2,FALSE)</f>
        <v>200000</v>
      </c>
      <c r="K96" s="20">
        <f>VLOOKUP(C96,Contrôle!$C$5:$D$7,2,FALSE)</f>
        <v>20000</v>
      </c>
      <c r="L96" s="20">
        <f>VLOOKUP(D96,Contrôle!$C$8:$D$10,2,FALSE)</f>
        <v>3000</v>
      </c>
      <c r="M96" s="20">
        <f>VLOOKUP(E96,Contrôle!$C$11:$D$13,2,FALSE)</f>
        <v>200</v>
      </c>
      <c r="N96" s="20">
        <f>VLOOKUP(F96,Contrôle!$C$14:$D$15,2,FALSE)</f>
        <v>20</v>
      </c>
      <c r="O96" s="20">
        <f>VLOOKUP(G96,Contrôle!$C$16:$D$17,2,FALSE)</f>
        <v>1</v>
      </c>
    </row>
    <row r="97" spans="1:15" x14ac:dyDescent="0.2">
      <c r="A97" s="8">
        <f t="shared" si="9"/>
        <v>223222</v>
      </c>
      <c r="B97" s="7" t="s">
        <v>263</v>
      </c>
      <c r="C97" s="7" t="s">
        <v>280</v>
      </c>
      <c r="D97" s="7" t="s">
        <v>296</v>
      </c>
      <c r="E97" s="7" t="s">
        <v>300</v>
      </c>
      <c r="F97" s="7" t="s">
        <v>268</v>
      </c>
      <c r="G97" s="7" t="s">
        <v>268</v>
      </c>
      <c r="H97" s="9">
        <f>'Table 4 ASHRAE'!$Q$13</f>
        <v>0.56000000000000005</v>
      </c>
      <c r="I97" s="9">
        <f t="shared" si="8"/>
        <v>1.7857142857142856</v>
      </c>
      <c r="J97" s="20">
        <f>VLOOKUP(B97,Contrôle!$C$3:$D$4,2,FALSE)</f>
        <v>200000</v>
      </c>
      <c r="K97" s="20">
        <f>VLOOKUP(C97,Contrôle!$C$5:$D$7,2,FALSE)</f>
        <v>20000</v>
      </c>
      <c r="L97" s="20">
        <f>VLOOKUP(D97,Contrôle!$C$8:$D$10,2,FALSE)</f>
        <v>3000</v>
      </c>
      <c r="M97" s="20">
        <f>VLOOKUP(E97,Contrôle!$C$11:$D$13,2,FALSE)</f>
        <v>200</v>
      </c>
      <c r="N97" s="20">
        <f>VLOOKUP(F97,Contrôle!$C$14:$D$15,2,FALSE)</f>
        <v>20</v>
      </c>
      <c r="O97" s="20">
        <f>VLOOKUP(G97,Contrôle!$C$16:$D$17,2,FALSE)</f>
        <v>2</v>
      </c>
    </row>
    <row r="98" spans="1:15" x14ac:dyDescent="0.2">
      <c r="A98" s="8">
        <f t="shared" si="9"/>
        <v>223311</v>
      </c>
      <c r="B98" s="7" t="s">
        <v>263</v>
      </c>
      <c r="C98" s="7" t="s">
        <v>280</v>
      </c>
      <c r="D98" s="7" t="s">
        <v>296</v>
      </c>
      <c r="E98" s="7" t="s">
        <v>301</v>
      </c>
      <c r="F98" s="7" t="s">
        <v>254</v>
      </c>
      <c r="G98" s="7" t="s">
        <v>254</v>
      </c>
      <c r="H98" s="9">
        <f>'Table 4 ASHRAE'!Q36</f>
        <v>0.32</v>
      </c>
      <c r="I98" s="9">
        <f t="shared" ref="I98:I99" si="10">1/H98</f>
        <v>3.125</v>
      </c>
      <c r="J98" s="20">
        <f>VLOOKUP(B98,Contrôle!$C$3:$D$4,2,FALSE)</f>
        <v>200000</v>
      </c>
      <c r="K98" s="20">
        <f>VLOOKUP(C98,Contrôle!$C$5:$D$7,2,FALSE)</f>
        <v>20000</v>
      </c>
      <c r="L98" s="20">
        <f>VLOOKUP(D98,Contrôle!$C$8:$D$10,2,FALSE)</f>
        <v>3000</v>
      </c>
      <c r="M98" s="20">
        <f>VLOOKUP(E98,Contrôle!$C$11:$D$13,2,FALSE)</f>
        <v>300</v>
      </c>
      <c r="N98" s="20">
        <f>VLOOKUP(F98,Contrôle!$C$14:$D$15,2,FALSE)</f>
        <v>10</v>
      </c>
      <c r="O98" s="20">
        <f>VLOOKUP(G98,Contrôle!$C$16:$D$17,2,FALSE)</f>
        <v>1</v>
      </c>
    </row>
    <row r="99" spans="1:15" x14ac:dyDescent="0.2">
      <c r="A99" s="8">
        <f t="shared" si="9"/>
        <v>223312</v>
      </c>
      <c r="B99" s="7" t="s">
        <v>263</v>
      </c>
      <c r="C99" s="7" t="s">
        <v>280</v>
      </c>
      <c r="D99" s="7" t="s">
        <v>296</v>
      </c>
      <c r="E99" s="7" t="s">
        <v>301</v>
      </c>
      <c r="F99" s="7" t="s">
        <v>254</v>
      </c>
      <c r="G99" s="7" t="s">
        <v>268</v>
      </c>
      <c r="H99" s="9">
        <f>'Table 4 ASHRAE'!$Q$16</f>
        <v>0.47</v>
      </c>
      <c r="I99" s="9">
        <f t="shared" si="10"/>
        <v>2.1276595744680851</v>
      </c>
      <c r="J99" s="20">
        <f>VLOOKUP(B99,Contrôle!$C$3:$D$4,2,FALSE)</f>
        <v>200000</v>
      </c>
      <c r="K99" s="20">
        <f>VLOOKUP(C99,Contrôle!$C$5:$D$7,2,FALSE)</f>
        <v>20000</v>
      </c>
      <c r="L99" s="20">
        <f>VLOOKUP(D99,Contrôle!$C$8:$D$10,2,FALSE)</f>
        <v>3000</v>
      </c>
      <c r="M99" s="20">
        <f>VLOOKUP(E99,Contrôle!$C$11:$D$13,2,FALSE)</f>
        <v>300</v>
      </c>
      <c r="N99" s="20">
        <f>VLOOKUP(F99,Contrôle!$C$14:$D$15,2,FALSE)</f>
        <v>10</v>
      </c>
      <c r="O99" s="20">
        <f>VLOOKUP(G99,Contrôle!$C$16:$D$17,2,FALSE)</f>
        <v>2</v>
      </c>
    </row>
    <row r="100" spans="1:15" x14ac:dyDescent="0.2">
      <c r="A100" s="8">
        <f t="shared" si="9"/>
        <v>223321</v>
      </c>
      <c r="B100" s="7" t="s">
        <v>263</v>
      </c>
      <c r="C100" s="7" t="s">
        <v>280</v>
      </c>
      <c r="D100" s="7" t="s">
        <v>296</v>
      </c>
      <c r="E100" s="7" t="s">
        <v>301</v>
      </c>
      <c r="F100" s="7" t="s">
        <v>268</v>
      </c>
      <c r="G100" s="7" t="s">
        <v>254</v>
      </c>
      <c r="H100" s="9">
        <f>'Table 4 ASHRAE'!Q34</f>
        <v>0.37</v>
      </c>
      <c r="I100" s="9">
        <f t="shared" ref="I100:I109" si="11">1/H100</f>
        <v>2.7027027027027026</v>
      </c>
      <c r="J100" s="20">
        <f>VLOOKUP(B100,Contrôle!$C$3:$D$4,2,FALSE)</f>
        <v>200000</v>
      </c>
      <c r="K100" s="20">
        <f>VLOOKUP(C100,Contrôle!$C$5:$D$7,2,FALSE)</f>
        <v>20000</v>
      </c>
      <c r="L100" s="20">
        <f>VLOOKUP(D100,Contrôle!$C$8:$D$10,2,FALSE)</f>
        <v>3000</v>
      </c>
      <c r="M100" s="20">
        <f>VLOOKUP(E100,Contrôle!$C$11:$D$13,2,FALSE)</f>
        <v>300</v>
      </c>
      <c r="N100" s="20">
        <f>VLOOKUP(F100,Contrôle!$C$14:$D$15,2,FALSE)</f>
        <v>20</v>
      </c>
      <c r="O100" s="20">
        <f>VLOOKUP(G100,Contrôle!$C$16:$D$17,2,FALSE)</f>
        <v>1</v>
      </c>
    </row>
    <row r="101" spans="1:15" x14ac:dyDescent="0.2">
      <c r="A101" s="8">
        <f t="shared" si="9"/>
        <v>223322</v>
      </c>
      <c r="B101" s="7" t="s">
        <v>263</v>
      </c>
      <c r="C101" s="7" t="s">
        <v>280</v>
      </c>
      <c r="D101" s="7" t="s">
        <v>296</v>
      </c>
      <c r="E101" s="7" t="s">
        <v>301</v>
      </c>
      <c r="F101" s="7" t="s">
        <v>268</v>
      </c>
      <c r="G101" s="7" t="s">
        <v>268</v>
      </c>
      <c r="H101" s="9">
        <f>'Table 4 ASHRAE'!$Q$14</f>
        <v>0.5</v>
      </c>
      <c r="I101" s="9">
        <f t="shared" si="11"/>
        <v>2</v>
      </c>
      <c r="J101" s="20">
        <f>VLOOKUP(B101,Contrôle!$C$3:$D$4,2,FALSE)</f>
        <v>200000</v>
      </c>
      <c r="K101" s="20">
        <f>VLOOKUP(C101,Contrôle!$C$5:$D$7,2,FALSE)</f>
        <v>20000</v>
      </c>
      <c r="L101" s="20">
        <f>VLOOKUP(D101,Contrôle!$C$8:$D$10,2,FALSE)</f>
        <v>3000</v>
      </c>
      <c r="M101" s="20">
        <f>VLOOKUP(E101,Contrôle!$C$11:$D$13,2,FALSE)</f>
        <v>300</v>
      </c>
      <c r="N101" s="20">
        <f>VLOOKUP(F101,Contrôle!$C$14:$D$15,2,FALSE)</f>
        <v>20</v>
      </c>
      <c r="O101" s="20">
        <f>VLOOKUP(G101,Contrôle!$C$16:$D$17,2,FALSE)</f>
        <v>2</v>
      </c>
    </row>
    <row r="102" spans="1:15" x14ac:dyDescent="0.2">
      <c r="A102" s="8">
        <f t="shared" si="9"/>
        <v>233211</v>
      </c>
      <c r="B102" s="7" t="s">
        <v>263</v>
      </c>
      <c r="C102" s="7" t="s">
        <v>285</v>
      </c>
      <c r="D102" s="7" t="s">
        <v>296</v>
      </c>
      <c r="E102" s="7" t="s">
        <v>300</v>
      </c>
      <c r="F102" s="7" t="s">
        <v>254</v>
      </c>
      <c r="G102" s="7" t="s">
        <v>254</v>
      </c>
      <c r="H102" s="9">
        <f>'Table 4 ASHRAE'!Q60</f>
        <v>0.27</v>
      </c>
      <c r="I102" s="9">
        <f t="shared" si="11"/>
        <v>3.7037037037037033</v>
      </c>
      <c r="J102" s="20">
        <f>VLOOKUP(B102,Contrôle!$C$3:$D$4,2,FALSE)</f>
        <v>200000</v>
      </c>
      <c r="K102" s="20">
        <f>VLOOKUP(C102,Contrôle!$C$5:$D$7,2,FALSE)</f>
        <v>30000</v>
      </c>
      <c r="L102" s="20">
        <f>VLOOKUP(D102,Contrôle!$C$8:$D$10,2,FALSE)</f>
        <v>3000</v>
      </c>
      <c r="M102" s="20">
        <f>VLOOKUP(E102,Contrôle!$C$11:$D$13,2,FALSE)</f>
        <v>200</v>
      </c>
      <c r="N102" s="20">
        <f>VLOOKUP(F102,Contrôle!$C$14:$D$15,2,FALSE)</f>
        <v>10</v>
      </c>
      <c r="O102" s="20">
        <f>VLOOKUP(G102,Contrôle!$C$16:$D$17,2,FALSE)</f>
        <v>1</v>
      </c>
    </row>
    <row r="103" spans="1:15" x14ac:dyDescent="0.2">
      <c r="A103" s="8">
        <f t="shared" si="9"/>
        <v>233212</v>
      </c>
      <c r="B103" s="7" t="s">
        <v>263</v>
      </c>
      <c r="C103" s="7" t="s">
        <v>285</v>
      </c>
      <c r="D103" s="7" t="s">
        <v>296</v>
      </c>
      <c r="E103" s="7" t="s">
        <v>300</v>
      </c>
      <c r="F103" s="7" t="s">
        <v>254</v>
      </c>
      <c r="G103" s="7" t="s">
        <v>268</v>
      </c>
      <c r="H103" s="9">
        <f>'Table 4 ASHRAE'!Q45</f>
        <v>0.38</v>
      </c>
      <c r="I103" s="9">
        <f t="shared" si="11"/>
        <v>2.6315789473684212</v>
      </c>
      <c r="J103" s="20">
        <f>VLOOKUP(B103,Contrôle!$C$3:$D$4,2,FALSE)</f>
        <v>200000</v>
      </c>
      <c r="K103" s="20">
        <f>VLOOKUP(C103,Contrôle!$C$5:$D$7,2,FALSE)</f>
        <v>30000</v>
      </c>
      <c r="L103" s="20">
        <f>VLOOKUP(D103,Contrôle!$C$8:$D$10,2,FALSE)</f>
        <v>3000</v>
      </c>
      <c r="M103" s="20">
        <f>VLOOKUP(E103,Contrôle!$C$11:$D$13,2,FALSE)</f>
        <v>200</v>
      </c>
      <c r="N103" s="20">
        <f>VLOOKUP(F103,Contrôle!$C$14:$D$15,2,FALSE)</f>
        <v>10</v>
      </c>
      <c r="O103" s="20">
        <f>VLOOKUP(G103,Contrôle!$C$16:$D$17,2,FALSE)</f>
        <v>2</v>
      </c>
    </row>
    <row r="104" spans="1:15" x14ac:dyDescent="0.2">
      <c r="A104" s="8">
        <f t="shared" si="9"/>
        <v>233221</v>
      </c>
      <c r="B104" s="7" t="s">
        <v>263</v>
      </c>
      <c r="C104" s="7" t="s">
        <v>285</v>
      </c>
      <c r="D104" s="7" t="s">
        <v>296</v>
      </c>
      <c r="E104" s="7" t="s">
        <v>300</v>
      </c>
      <c r="F104" s="7" t="s">
        <v>268</v>
      </c>
      <c r="G104" s="7" t="s">
        <v>254</v>
      </c>
      <c r="H104" s="9">
        <f>'Table 4 ASHRAE'!Q58</f>
        <v>0.32</v>
      </c>
      <c r="I104" s="9">
        <f t="shared" si="11"/>
        <v>3.125</v>
      </c>
      <c r="J104" s="20">
        <f>VLOOKUP(B104,Contrôle!$C$3:$D$4,2,FALSE)</f>
        <v>200000</v>
      </c>
      <c r="K104" s="20">
        <f>VLOOKUP(C104,Contrôle!$C$5:$D$7,2,FALSE)</f>
        <v>30000</v>
      </c>
      <c r="L104" s="20">
        <f>VLOOKUP(D104,Contrôle!$C$8:$D$10,2,FALSE)</f>
        <v>3000</v>
      </c>
      <c r="M104" s="20">
        <f>VLOOKUP(E104,Contrôle!$C$11:$D$13,2,FALSE)</f>
        <v>200</v>
      </c>
      <c r="N104" s="20">
        <f>VLOOKUP(F104,Contrôle!$C$14:$D$15,2,FALSE)</f>
        <v>20</v>
      </c>
      <c r="O104" s="20">
        <f>VLOOKUP(G104,Contrôle!$C$16:$D$17,2,FALSE)</f>
        <v>1</v>
      </c>
    </row>
    <row r="105" spans="1:15" x14ac:dyDescent="0.2">
      <c r="A105" s="8">
        <f t="shared" si="9"/>
        <v>233222</v>
      </c>
      <c r="B105" s="7" t="s">
        <v>263</v>
      </c>
      <c r="C105" s="7" t="s">
        <v>285</v>
      </c>
      <c r="D105" s="7" t="s">
        <v>296</v>
      </c>
      <c r="E105" s="7" t="s">
        <v>300</v>
      </c>
      <c r="F105" s="7" t="s">
        <v>268</v>
      </c>
      <c r="G105" s="7" t="s">
        <v>268</v>
      </c>
      <c r="H105" s="9">
        <f>'Table 4 ASHRAE'!Q43</f>
        <v>0.42</v>
      </c>
      <c r="I105" s="9">
        <f t="shared" si="11"/>
        <v>2.3809523809523809</v>
      </c>
      <c r="J105" s="20">
        <f>VLOOKUP(B105,Contrôle!$C$3:$D$4,2,FALSE)</f>
        <v>200000</v>
      </c>
      <c r="K105" s="20">
        <f>VLOOKUP(C105,Contrôle!$C$5:$D$7,2,FALSE)</f>
        <v>30000</v>
      </c>
      <c r="L105" s="20">
        <f>VLOOKUP(D105,Contrôle!$C$8:$D$10,2,FALSE)</f>
        <v>3000</v>
      </c>
      <c r="M105" s="20">
        <f>VLOOKUP(E105,Contrôle!$C$11:$D$13,2,FALSE)</f>
        <v>200</v>
      </c>
      <c r="N105" s="20">
        <f>VLOOKUP(F105,Contrôle!$C$14:$D$15,2,FALSE)</f>
        <v>20</v>
      </c>
      <c r="O105" s="20">
        <f>VLOOKUP(G105,Contrôle!$C$16:$D$17,2,FALSE)</f>
        <v>2</v>
      </c>
    </row>
    <row r="106" spans="1:15" x14ac:dyDescent="0.2">
      <c r="A106" s="8">
        <f t="shared" si="9"/>
        <v>233311</v>
      </c>
      <c r="B106" s="7" t="s">
        <v>263</v>
      </c>
      <c r="C106" s="7" t="s">
        <v>285</v>
      </c>
      <c r="D106" s="7" t="s">
        <v>296</v>
      </c>
      <c r="E106" s="7" t="s">
        <v>301</v>
      </c>
      <c r="F106" s="7" t="s">
        <v>254</v>
      </c>
      <c r="G106" s="7" t="s">
        <v>254</v>
      </c>
      <c r="H106" s="9">
        <f>'Table 4 ASHRAE'!Q61</f>
        <v>0.21</v>
      </c>
      <c r="I106" s="9">
        <f t="shared" si="11"/>
        <v>4.7619047619047619</v>
      </c>
      <c r="J106" s="20">
        <f>VLOOKUP(B106,Contrôle!$C$3:$D$4,2,FALSE)</f>
        <v>200000</v>
      </c>
      <c r="K106" s="20">
        <f>VLOOKUP(C106,Contrôle!$C$5:$D$7,2,FALSE)</f>
        <v>30000</v>
      </c>
      <c r="L106" s="20">
        <f>VLOOKUP(D106,Contrôle!$C$8:$D$10,2,FALSE)</f>
        <v>3000</v>
      </c>
      <c r="M106" s="20">
        <f>VLOOKUP(E106,Contrôle!$C$11:$D$13,2,FALSE)</f>
        <v>300</v>
      </c>
      <c r="N106" s="20">
        <f>VLOOKUP(F106,Contrôle!$C$14:$D$15,2,FALSE)</f>
        <v>10</v>
      </c>
      <c r="O106" s="20">
        <f>VLOOKUP(G106,Contrôle!$C$16:$D$17,2,FALSE)</f>
        <v>1</v>
      </c>
    </row>
    <row r="107" spans="1:15" x14ac:dyDescent="0.2">
      <c r="A107" s="8">
        <f t="shared" si="9"/>
        <v>233312</v>
      </c>
      <c r="B107" s="7" t="s">
        <v>263</v>
      </c>
      <c r="C107" s="7" t="s">
        <v>285</v>
      </c>
      <c r="D107" s="7" t="s">
        <v>296</v>
      </c>
      <c r="E107" s="7" t="s">
        <v>301</v>
      </c>
      <c r="F107" s="7" t="s">
        <v>254</v>
      </c>
      <c r="G107" s="7" t="s">
        <v>268</v>
      </c>
      <c r="H107" s="9">
        <f>'Table 4 ASHRAE'!Q46</f>
        <v>0.34</v>
      </c>
      <c r="I107" s="9">
        <f t="shared" si="11"/>
        <v>2.9411764705882351</v>
      </c>
      <c r="J107" s="20">
        <f>VLOOKUP(B107,Contrôle!$C$3:$D$4,2,FALSE)</f>
        <v>200000</v>
      </c>
      <c r="K107" s="20">
        <f>VLOOKUP(C107,Contrôle!$C$5:$D$7,2,FALSE)</f>
        <v>30000</v>
      </c>
      <c r="L107" s="20">
        <f>VLOOKUP(D107,Contrôle!$C$8:$D$10,2,FALSE)</f>
        <v>3000</v>
      </c>
      <c r="M107" s="20">
        <f>VLOOKUP(E107,Contrôle!$C$11:$D$13,2,FALSE)</f>
        <v>300</v>
      </c>
      <c r="N107" s="20">
        <f>VLOOKUP(F107,Contrôle!$C$14:$D$15,2,FALSE)</f>
        <v>10</v>
      </c>
      <c r="O107" s="20">
        <f>VLOOKUP(G107,Contrôle!$C$16:$D$17,2,FALSE)</f>
        <v>2</v>
      </c>
    </row>
    <row r="108" spans="1:15" x14ac:dyDescent="0.2">
      <c r="A108" s="8">
        <f t="shared" si="9"/>
        <v>233321</v>
      </c>
      <c r="B108" s="7" t="s">
        <v>263</v>
      </c>
      <c r="C108" s="7" t="s">
        <v>285</v>
      </c>
      <c r="D108" s="7" t="s">
        <v>296</v>
      </c>
      <c r="E108" s="7" t="s">
        <v>301</v>
      </c>
      <c r="F108" s="7" t="s">
        <v>268</v>
      </c>
      <c r="G108" s="7" t="s">
        <v>254</v>
      </c>
      <c r="H108" s="9">
        <f>'Table 4 ASHRAE'!Q59</f>
        <v>0.25</v>
      </c>
      <c r="I108" s="9">
        <f t="shared" si="11"/>
        <v>4</v>
      </c>
      <c r="J108" s="20">
        <f>VLOOKUP(B108,Contrôle!$C$3:$D$4,2,FALSE)</f>
        <v>200000</v>
      </c>
      <c r="K108" s="20">
        <f>VLOOKUP(C108,Contrôle!$C$5:$D$7,2,FALSE)</f>
        <v>30000</v>
      </c>
      <c r="L108" s="20">
        <f>VLOOKUP(D108,Contrôle!$C$8:$D$10,2,FALSE)</f>
        <v>3000</v>
      </c>
      <c r="M108" s="20">
        <f>VLOOKUP(E108,Contrôle!$C$11:$D$13,2,FALSE)</f>
        <v>300</v>
      </c>
      <c r="N108" s="20">
        <f>VLOOKUP(F108,Contrôle!$C$14:$D$15,2,FALSE)</f>
        <v>20</v>
      </c>
      <c r="O108" s="20">
        <f>VLOOKUP(G108,Contrôle!$C$16:$D$17,2,FALSE)</f>
        <v>1</v>
      </c>
    </row>
    <row r="109" spans="1:15" x14ac:dyDescent="0.2">
      <c r="A109" s="8">
        <f t="shared" si="9"/>
        <v>233322</v>
      </c>
      <c r="B109" s="7" t="s">
        <v>263</v>
      </c>
      <c r="C109" s="7" t="s">
        <v>285</v>
      </c>
      <c r="D109" s="7" t="s">
        <v>296</v>
      </c>
      <c r="E109" s="7" t="s">
        <v>301</v>
      </c>
      <c r="F109" s="7" t="s">
        <v>268</v>
      </c>
      <c r="G109" s="7" t="s">
        <v>268</v>
      </c>
      <c r="H109" s="9">
        <f>'Table 4 ASHRAE'!Q44</f>
        <v>0.36</v>
      </c>
      <c r="I109" s="9">
        <f t="shared" si="11"/>
        <v>2.7777777777777777</v>
      </c>
      <c r="J109" s="20">
        <f>VLOOKUP(B109,Contrôle!$C$3:$D$4,2,FALSE)</f>
        <v>200000</v>
      </c>
      <c r="K109" s="20">
        <f>VLOOKUP(C109,Contrôle!$C$5:$D$7,2,FALSE)</f>
        <v>30000</v>
      </c>
      <c r="L109" s="20">
        <f>VLOOKUP(D109,Contrôle!$C$8:$D$10,2,FALSE)</f>
        <v>3000</v>
      </c>
      <c r="M109" s="20">
        <f>VLOOKUP(E109,Contrôle!$C$11:$D$13,2,FALSE)</f>
        <v>300</v>
      </c>
      <c r="N109" s="20">
        <f>VLOOKUP(F109,Contrôle!$C$14:$D$15,2,FALSE)</f>
        <v>20</v>
      </c>
      <c r="O109" s="20">
        <f>VLOOKUP(G109,Contrôle!$C$16:$D$17,2,FALSE)</f>
        <v>2</v>
      </c>
    </row>
    <row r="114" spans="2:2" ht="18" x14ac:dyDescent="0.2">
      <c r="B114" s="23" t="s">
        <v>345</v>
      </c>
    </row>
    <row r="115" spans="2:2" ht="18" x14ac:dyDescent="0.2">
      <c r="B115" s="23" t="s">
        <v>346</v>
      </c>
    </row>
    <row r="116" spans="2:2" ht="18" x14ac:dyDescent="0.2">
      <c r="B116" s="23" t="s">
        <v>347</v>
      </c>
    </row>
    <row r="1048467" spans="8:8" x14ac:dyDescent="0.2">
      <c r="H1048467" s="9"/>
    </row>
  </sheetData>
  <pageMargins left="0.7" right="0.7" top="0.75" bottom="0.75" header="0.3" footer="0.3"/>
  <customProperties>
    <customPr name="_pios_id" r:id="rId1"/>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3F455C487F51348BAB97E253C5F88B7" ma:contentTypeVersion="4" ma:contentTypeDescription="Crée un document." ma:contentTypeScope="" ma:versionID="93d1c87a2dc2be834464389a01140340">
  <xsd:schema xmlns:xsd="http://www.w3.org/2001/XMLSchema" xmlns:xs="http://www.w3.org/2001/XMLSchema" xmlns:p="http://schemas.microsoft.com/office/2006/metadata/properties" xmlns:ns2="570c707e-0927-493d-aea0-19bd07299142" targetNamespace="http://schemas.microsoft.com/office/2006/metadata/properties" ma:root="true" ma:fieldsID="ad668e9b35496bd3f3ffe23454296162" ns2:_="">
    <xsd:import namespace="570c707e-0927-493d-aea0-19bd0729914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70c707e-0927-493d-aea0-19bd0729914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17BE04B-E413-4F80-A246-49172331AD95}">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37804F41-0257-4062-9629-48FC3063B92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70c707e-0927-493d-aea0-19bd0729914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30B52AF-0C15-457A-AB8B-5170B804F3B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19</vt:i4>
      </vt:variant>
      <vt:variant>
        <vt:lpstr>Plages nommées</vt:lpstr>
      </vt:variant>
      <vt:variant>
        <vt:i4>9</vt:i4>
      </vt:variant>
    </vt:vector>
  </HeadingPairs>
  <TitlesOfParts>
    <vt:vector size="28" baseType="lpstr">
      <vt:lpstr>1 - General information</vt:lpstr>
      <vt:lpstr>2 - Description of the work</vt:lpstr>
      <vt:lpstr>3 - Summary of costs</vt:lpstr>
      <vt:lpstr>4 - Request for payment</vt:lpstr>
      <vt:lpstr>Sommaire_Datech</vt:lpstr>
      <vt:lpstr>Calculs</vt:lpstr>
      <vt:lpstr>Contrôle</vt:lpstr>
      <vt:lpstr>Table 4 ASHRAE</vt:lpstr>
      <vt:lpstr>R fenêtre</vt:lpstr>
      <vt:lpstr>Niveau fenêtre</vt:lpstr>
      <vt:lpstr>MJ par m² fenêtre</vt:lpstr>
      <vt:lpstr>Energy_Star Fenêtre</vt:lpstr>
      <vt:lpstr>Niveau toit</vt:lpstr>
      <vt:lpstr>MJ par m² toit</vt:lpstr>
      <vt:lpstr>Niveau murs hors sol</vt:lpstr>
      <vt:lpstr>MJ par m² murs hors sol</vt:lpstr>
      <vt:lpstr>Niveau murs sous-sol</vt:lpstr>
      <vt:lpstr>MJ par m² murs sous-sol</vt:lpstr>
      <vt:lpstr>Autres mesures</vt:lpstr>
      <vt:lpstr>'4 - Request for payment'!Graphiste</vt:lpstr>
      <vt:lpstr>'3 - Summary of costs'!Info</vt:lpstr>
      <vt:lpstr>Contrôle!Région</vt:lpstr>
      <vt:lpstr>'2 - Description of the work'!Sheink</vt:lpstr>
      <vt:lpstr>'1 - General information'!Zone_d_impression</vt:lpstr>
      <vt:lpstr>'2 - Description of the work'!Zone_d_impression</vt:lpstr>
      <vt:lpstr>'3 - Summary of costs'!Zone_d_impression</vt:lpstr>
      <vt:lpstr>'4 - Request for payment'!Zone_d_impression</vt:lpstr>
      <vt:lpstr>Sommaire_Datech!Zone_d_impression</vt:lpstr>
    </vt:vector>
  </TitlesOfParts>
  <Manager/>
  <Company>GazMétro</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Doucet Sébastien</dc:creator>
  <cp:keywords>9228</cp:keywords>
  <dc:description/>
  <cp:lastModifiedBy>Eppner Fanny</cp:lastModifiedBy>
  <cp:revision/>
  <dcterms:created xsi:type="dcterms:W3CDTF">2017-07-14T13:30:27Z</dcterms:created>
  <dcterms:modified xsi:type="dcterms:W3CDTF">2023-10-03T12:11:23Z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0x01010093F455C487F51348BAB97E253C5F88B7</vt:lpwstr>
  </property>
</Properties>
</file>